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<sst xmlns="http://schemas.openxmlformats.org/spreadsheetml/2006/main" count="172" uniqueCount="123">
  <si>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</si>
  <si>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</si>
  <si>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</si>
  <si>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</si>
  <si>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</si>
  <si>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</si>
  <si>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</si>
  <si>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</si>
  <si>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</si>
  <si>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</si>
  <si>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</si>
  <si>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</si>
  <si>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</si>
  <si>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</si>
  <si>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</si>
  <si>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</si>
  <si>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</si>
  <si>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</si>
  <si>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</si>
  <si>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</si>
  <si>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</si>
  <si>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</si>
  <si>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</si>
  <si>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</si>
  <si>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</si>
  <si>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</si>
  <si>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</si>
  <si>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</si>
  <si>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</si>
  <si>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</si>
  <si>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</si>
  <si>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</si>
  <si>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</si>
  <si>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</si>
  <si>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</si>
  <si>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</si>
  <si>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</si>
  <si>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</si>
  <si>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</si>
  <si>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</si>
  <si>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</si>
  <si>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</si>
  <si>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</si>
  <si>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</si>
  <si>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</si>
  <si>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</si>
  <si>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</si>
  <si>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</si>
  <si>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</si>
  <si>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</si>
  <si>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</si>
  <si>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</si>
  <si>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</si>
  <si>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</si>
  <si>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</si>
  <si>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</si>
  <si>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</si>
  <si>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</si>
  <si>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</si>
  <si>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</si>
  <si>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</si>
  <si>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</si>
  <si>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</si>
  <si>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</si>
  <si>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</si>
  <si>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</si>
  <si>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</si>
  <si>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</si>
  <si>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</si>
  <si>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</si>
  <si>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</si>
  <si>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</si>
  <si>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</si>
  <si>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</si>
  <si>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</si>
  <si>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</si>
  <si>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</si>
  <si>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</si>
  <si>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</si>
  <si>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</si>
  <si>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</si>
  <si>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</si>
  <si>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</si>
  <si>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</si>
  <si>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</si>
  <si>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</si>
  <si>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</si>
  <si>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</si>
  <si>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</si>
  <si>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</si>
  <si>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</si>
  <si>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</si>
  <si>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</si>
  <si>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</si>
  <si>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</si>
  <si>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</si>
  <si>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</si>
  <si>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</si>
  <si>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</si>
  <si>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</si>
  <si>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</si>
  <si>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</si>
  <si>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</si>
  <si>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</si>
  <si>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</si>
  <si>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</si>
  <si>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</si>
  <si>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</si>
  <si>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</si>
  <si>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</si>
  <si>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</si>
  <si>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</si>
  <si>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</si>
  <si>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</si>
  <si>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</si>
  <si>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</si>
  <si>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</si>
  <si>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</si>
  <si>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</si>
  <si>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План на 9 місяців, тис.грн.</t>
  </si>
  <si>
    <t>Відсоток виконання плану 9 місяців</t>
  </si>
  <si>
    <t>Відхилення від плану 9 місяців, тис.грн.</t>
  </si>
  <si>
    <t>Аналіз використання коштів міського бюджету за 2016 рік станом на 07.09.2016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</si>
</sst>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6" xfId="0" applyNumberFormat="1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6" xfId="0" applyNumberFormat="1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5" xfId="0" applyNumberFormat="1" applyFont="1" applyFill="1" applyBorder="1" applyAlignment="1">
      <alignment/>
    </xf>
    <xf numFmtId="190" fontId="0" fillId="0" borderId="13" xfId="0" applyNumberFormat="1" applyFont="1" applyFill="1" applyBorder="1" applyAlignment="1">
      <alignment wrapText="1"/>
    </xf>
    <xf numFmtId="190" fontId="0" fillId="0" borderId="11" xfId="0" applyNumberFormat="1" applyFont="1" applyFill="1" applyBorder="1" applyAlignment="1">
      <alignment/>
    </xf>
    <xf numFmtId="190" fontId="4" fillId="0" borderId="16" xfId="0" applyNumberFormat="1" applyFont="1" applyFill="1" applyBorder="1" applyAlignment="1">
      <alignment wrapText="1"/>
    </xf>
    <xf numFmtId="190" fontId="4" fillId="0" borderId="12" xfId="0" applyNumberFormat="1" applyFont="1" applyFill="1" applyBorder="1" applyAlignment="1">
      <alignment wrapText="1"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89" fontId="4" fillId="24" borderId="15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6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59296.50000000001</c:v>
                </c:pt>
                <c:pt idx="1">
                  <c:v>49680.7</c:v>
                </c:pt>
                <c:pt idx="2">
                  <c:v>2121.4</c:v>
                </c:pt>
                <c:pt idx="3">
                  <c:v>7494.400000000011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37990.999999999985</c:v>
                </c:pt>
                <c:pt idx="1">
                  <c:v>32442.600000000002</c:v>
                </c:pt>
                <c:pt idx="2">
                  <c:v>1136.9999999999998</c:v>
                </c:pt>
                <c:pt idx="3">
                  <c:v>4411.399999999983</c:v>
                </c:pt>
              </c:numCache>
            </c:numRef>
          </c:val>
          <c:shape val="box"/>
        </c:ser>
        <c:shape val="box"/>
        <c:axId val="62835761"/>
        <c:axId val="28650938"/>
      </c:bar3DChart>
      <c:catAx>
        <c:axId val="62835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650938"/>
        <c:crosses val="autoZero"/>
        <c:auto val="1"/>
        <c:lblOffset val="100"/>
        <c:tickLblSkip val="1"/>
        <c:noMultiLvlLbl val="0"/>
      </c:catAx>
      <c:valAx>
        <c:axId val="28650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357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445444.6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16056.900000000038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266845.69999999995</c:v>
                </c:pt>
                <c:pt idx="1">
                  <c:v>117439.30000000002</c:v>
                </c:pt>
                <c:pt idx="2">
                  <c:v>202553.4999999999</c:v>
                </c:pt>
                <c:pt idx="3">
                  <c:v>36.39999999999999</c:v>
                </c:pt>
                <c:pt idx="4">
                  <c:v>15729.500000000007</c:v>
                </c:pt>
                <c:pt idx="5">
                  <c:v>31895.2</c:v>
                </c:pt>
                <c:pt idx="6">
                  <c:v>8164.000000000001</c:v>
                </c:pt>
                <c:pt idx="7">
                  <c:v>8467.100000000031</c:v>
                </c:pt>
              </c:numCache>
            </c:numRef>
          </c:val>
          <c:shape val="box"/>
        </c:ser>
        <c:shape val="box"/>
        <c:axId val="56531851"/>
        <c:axId val="39024612"/>
      </c:bar3DChart>
      <c:catAx>
        <c:axId val="56531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024612"/>
        <c:crosses val="autoZero"/>
        <c:auto val="1"/>
        <c:lblOffset val="100"/>
        <c:tickLblSkip val="1"/>
        <c:noMultiLvlLbl val="0"/>
      </c:catAx>
      <c:valAx>
        <c:axId val="390246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318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260212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13283.600000000011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163734.40000000002</c:v>
                </c:pt>
                <c:pt idx="1">
                  <c:v>119727.59999999996</c:v>
                </c:pt>
                <c:pt idx="2">
                  <c:v>126973.40000000001</c:v>
                </c:pt>
                <c:pt idx="3">
                  <c:v>14581.900000000001</c:v>
                </c:pt>
                <c:pt idx="4">
                  <c:v>2744.3000000000006</c:v>
                </c:pt>
                <c:pt idx="5">
                  <c:v>14444.399999999998</c:v>
                </c:pt>
                <c:pt idx="6">
                  <c:v>1022.9999999999999</c:v>
                </c:pt>
                <c:pt idx="7">
                  <c:v>3967.400000000016</c:v>
                </c:pt>
              </c:numCache>
            </c:numRef>
          </c:val>
          <c:shape val="box"/>
        </c:ser>
        <c:shape val="box"/>
        <c:axId val="15677189"/>
        <c:axId val="6876974"/>
      </c:bar3DChart>
      <c:catAx>
        <c:axId val="15677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76974"/>
        <c:crosses val="autoZero"/>
        <c:auto val="1"/>
        <c:lblOffset val="100"/>
        <c:tickLblSkip val="1"/>
        <c:noMultiLvlLbl val="0"/>
      </c:catAx>
      <c:valAx>
        <c:axId val="68769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771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48353.2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7629.4000000000015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31635.1</c:v>
                </c:pt>
                <c:pt idx="1">
                  <c:v>23179.29999999999</c:v>
                </c:pt>
                <c:pt idx="2">
                  <c:v>1267.4999999999995</c:v>
                </c:pt>
                <c:pt idx="3">
                  <c:v>434.4000000000001</c:v>
                </c:pt>
                <c:pt idx="4">
                  <c:v>25.5</c:v>
                </c:pt>
                <c:pt idx="5">
                  <c:v>6728.400000000011</c:v>
                </c:pt>
              </c:numCache>
            </c:numRef>
          </c:val>
          <c:shape val="box"/>
        </c:ser>
        <c:shape val="box"/>
        <c:axId val="61892767"/>
        <c:axId val="20163992"/>
      </c:bar3DChart>
      <c:catAx>
        <c:axId val="61892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163992"/>
        <c:crosses val="autoZero"/>
        <c:auto val="1"/>
        <c:lblOffset val="100"/>
        <c:tickLblSkip val="1"/>
        <c:noMultiLvlLbl val="0"/>
      </c:catAx>
      <c:valAx>
        <c:axId val="20163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927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17141.1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5380.299999999997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9584.699999999995</c:v>
                </c:pt>
                <c:pt idx="1">
                  <c:v>6444.499999999998</c:v>
                </c:pt>
                <c:pt idx="3">
                  <c:v>148.70000000000002</c:v>
                </c:pt>
                <c:pt idx="4">
                  <c:v>386.20000000000005</c:v>
                </c:pt>
                <c:pt idx="5">
                  <c:v>120</c:v>
                </c:pt>
                <c:pt idx="6">
                  <c:v>2485.2999999999975</c:v>
                </c:pt>
              </c:numCache>
            </c:numRef>
          </c:val>
          <c:shape val="box"/>
        </c:ser>
        <c:shape val="box"/>
        <c:axId val="47258201"/>
        <c:axId val="22670626"/>
      </c:bar3DChart>
      <c:catAx>
        <c:axId val="47258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670626"/>
        <c:crosses val="autoZero"/>
        <c:auto val="1"/>
        <c:lblOffset val="100"/>
        <c:tickLblSkip val="2"/>
        <c:noMultiLvlLbl val="0"/>
      </c:catAx>
      <c:valAx>
        <c:axId val="226706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582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6131.4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2656.3999999999996</c:v>
                </c:pt>
                <c:pt idx="1">
                  <c:v>1080.7</c:v>
                </c:pt>
                <c:pt idx="2">
                  <c:v>311.70000000000005</c:v>
                </c:pt>
                <c:pt idx="3">
                  <c:v>199.9</c:v>
                </c:pt>
                <c:pt idx="4">
                  <c:v>987</c:v>
                </c:pt>
                <c:pt idx="5">
                  <c:v>77.09999999999945</c:v>
                </c:pt>
              </c:numCache>
            </c:numRef>
          </c:val>
          <c:shape val="box"/>
        </c:ser>
        <c:shape val="box"/>
        <c:axId val="2709043"/>
        <c:axId val="24381388"/>
      </c:bar3DChart>
      <c:catAx>
        <c:axId val="2709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381388"/>
        <c:crosses val="autoZero"/>
        <c:auto val="1"/>
        <c:lblOffset val="100"/>
        <c:tickLblSkip val="1"/>
        <c:noMultiLvlLbl val="0"/>
      </c:catAx>
      <c:valAx>
        <c:axId val="243813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90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78413.9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57651.4</c:v>
                </c:pt>
              </c:numCache>
            </c:numRef>
          </c:val>
          <c:shape val="box"/>
        </c:ser>
        <c:shape val="box"/>
        <c:axId val="18105901"/>
        <c:axId val="28735382"/>
      </c:bar3DChart>
      <c:catAx>
        <c:axId val="1810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735382"/>
        <c:crosses val="autoZero"/>
        <c:auto val="1"/>
        <c:lblOffset val="100"/>
        <c:tickLblSkip val="1"/>
        <c:noMultiLvlLbl val="0"/>
      </c:catAx>
      <c:valAx>
        <c:axId val="287353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059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445444.6</c:v>
                </c:pt>
                <c:pt idx="1">
                  <c:v>260212</c:v>
                </c:pt>
                <c:pt idx="2">
                  <c:v>48353.2</c:v>
                </c:pt>
                <c:pt idx="3">
                  <c:v>17141.1</c:v>
                </c:pt>
                <c:pt idx="4">
                  <c:v>6131.4</c:v>
                </c:pt>
                <c:pt idx="5">
                  <c:v>59296.50000000001</c:v>
                </c:pt>
                <c:pt idx="6">
                  <c:v>78413.9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266845.69999999995</c:v>
                </c:pt>
                <c:pt idx="1">
                  <c:v>163734.40000000002</c:v>
                </c:pt>
                <c:pt idx="2">
                  <c:v>31635.1</c:v>
                </c:pt>
                <c:pt idx="3">
                  <c:v>9584.699999999995</c:v>
                </c:pt>
                <c:pt idx="4">
                  <c:v>2656.3999999999996</c:v>
                </c:pt>
                <c:pt idx="5">
                  <c:v>37990.999999999985</c:v>
                </c:pt>
                <c:pt idx="6">
                  <c:v>57651.4</c:v>
                </c:pt>
              </c:numCache>
            </c:numRef>
          </c:val>
          <c:shape val="box"/>
        </c:ser>
        <c:shape val="box"/>
        <c:axId val="57291847"/>
        <c:axId val="45864576"/>
      </c:bar3DChart>
      <c:catAx>
        <c:axId val="57291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864576"/>
        <c:crosses val="autoZero"/>
        <c:auto val="1"/>
        <c:lblOffset val="100"/>
        <c:tickLblSkip val="1"/>
        <c:noMultiLvlLbl val="0"/>
      </c:catAx>
      <c:valAx>
        <c:axId val="45864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918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31721.800000000003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690553.2000000001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397875.2999999998</c:v>
                </c:pt>
                <c:pt idx="1">
                  <c:v>54619.799999999996</c:v>
                </c:pt>
                <c:pt idx="2">
                  <c:v>18969.500000000007</c:v>
                </c:pt>
                <c:pt idx="3">
                  <c:v>15106.4</c:v>
                </c:pt>
                <c:pt idx="4">
                  <c:v>14699.1</c:v>
                </c:pt>
                <c:pt idx="5">
                  <c:v>474006.20000000024</c:v>
                </c:pt>
              </c:numCache>
            </c:numRef>
          </c:val>
          <c:shape val="box"/>
        </c:ser>
        <c:shape val="box"/>
        <c:axId val="10128001"/>
        <c:axId val="24043146"/>
      </c:bar3DChart>
      <c:catAx>
        <c:axId val="10128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043146"/>
        <c:crosses val="autoZero"/>
        <c:auto val="1"/>
        <c:lblOffset val="100"/>
        <c:tickLblSkip val="1"/>
        <c:noMultiLvlLbl val="0"/>
      </c:catAx>
      <c:valAx>
        <c:axId val="240431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280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14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64" sqref="D164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111</v>
      </c>
      <c r="D3" s="135" t="s">
        <v>28</v>
      </c>
      <c r="E3" s="135" t="s">
        <v>27</v>
      </c>
      <c r="F3" s="135" t="s">
        <v>120</v>
      </c>
      <c r="G3" s="135" t="s">
        <v>113</v>
      </c>
      <c r="H3" s="135" t="s">
        <v>121</v>
      </c>
      <c r="I3" s="135" t="s">
        <v>112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v>324048.3</v>
      </c>
      <c r="C6" s="50">
        <f>426773.1+25+188.4+2200.9+6.1-1051.6+141.1+593.1+16568.5</f>
        <v>445444.6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+824.9+3788.7+1076.6+5.7+22.2+199.3+0.6+56.5+345.6+74.2+5939.3+15.4+329.9+242.8+27.1+377.4+179.6+253.2+325.6+45.4+5613.3+450.2+4414.7+121+0.2+0.1+58.8+336.6+2.1</f>
        <v>266845.69999999995</v>
      </c>
      <c r="E6" s="3">
        <f>D6/D150*100</f>
        <v>27.36103885237842</v>
      </c>
      <c r="F6" s="3">
        <f>D6/B6*100</f>
        <v>82.34750807209912</v>
      </c>
      <c r="G6" s="3">
        <f aca="true" t="shared" si="0" ref="G6:G43">D6/C6*100</f>
        <v>59.9054742160978</v>
      </c>
      <c r="H6" s="51">
        <f>B6-D6</f>
        <v>57202.600000000035</v>
      </c>
      <c r="I6" s="51">
        <f aca="true" t="shared" si="1" ref="I6:I43">C6-D6</f>
        <v>178598.90000000002</v>
      </c>
    </row>
    <row r="7" spans="1:9" s="41" customFormat="1" ht="18.75">
      <c r="A7" s="112" t="s">
        <v>97</v>
      </c>
      <c r="B7" s="105">
        <v>142612.5</v>
      </c>
      <c r="C7" s="102">
        <f>185717.4+2200.9+593.1-613.8</f>
        <v>187897.6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</f>
        <v>117439.30000000002</v>
      </c>
      <c r="E7" s="103">
        <f>D7/D6*100</f>
        <v>44.0101901585823</v>
      </c>
      <c r="F7" s="103">
        <f>D7/B7*100</f>
        <v>82.34853186081165</v>
      </c>
      <c r="G7" s="103">
        <f>D7/C7*100</f>
        <v>62.501756275758716</v>
      </c>
      <c r="H7" s="113">
        <f>B7-D7</f>
        <v>25173.199999999983</v>
      </c>
      <c r="I7" s="113">
        <f t="shared" si="1"/>
        <v>70458.29999999999</v>
      </c>
    </row>
    <row r="8" spans="1:9" ht="18">
      <c r="A8" s="26" t="s">
        <v>3</v>
      </c>
      <c r="B8" s="46">
        <v>230576.6</v>
      </c>
      <c r="C8" s="47">
        <f>298081.6+593.1+13792.1</f>
        <v>312466.79999999993</v>
      </c>
      <c r="D8" s="48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</f>
        <v>202553.4999999999</v>
      </c>
      <c r="E8" s="1">
        <f>D8/D6*100</f>
        <v>75.90660070595102</v>
      </c>
      <c r="F8" s="1">
        <f>D8/B8*100</f>
        <v>87.84651174490382</v>
      </c>
      <c r="G8" s="1">
        <f t="shared" si="0"/>
        <v>64.82400690249331</v>
      </c>
      <c r="H8" s="48">
        <f>B8-D8</f>
        <v>28023.100000000093</v>
      </c>
      <c r="I8" s="48">
        <f t="shared" si="1"/>
        <v>109913.30000000002</v>
      </c>
    </row>
    <row r="9" spans="1:9" ht="18">
      <c r="A9" s="26" t="s">
        <v>2</v>
      </c>
      <c r="B9" s="46">
        <v>69.2</v>
      </c>
      <c r="C9" s="47">
        <v>85.7</v>
      </c>
      <c r="D9" s="48">
        <f>4+2.9+1.6+0.5+0.5+1.9+1.2+1.8+1.6+0.7+2+3.7+0.1+1.9+2.9+1.2+0.4+1.1+0.2+0.6+1.5+1.7+0.3+0.5+1.3-0.1+0.4</f>
        <v>36.39999999999999</v>
      </c>
      <c r="E9" s="12">
        <f>D9/D6*100</f>
        <v>0.01364084187978296</v>
      </c>
      <c r="F9" s="128">
        <f>D9/B9*100</f>
        <v>52.60115606936415</v>
      </c>
      <c r="G9" s="1">
        <f t="shared" si="0"/>
        <v>42.4737456242707</v>
      </c>
      <c r="H9" s="48">
        <f aca="true" t="shared" si="2" ref="H9:H43">B9-D9</f>
        <v>32.80000000000001</v>
      </c>
      <c r="I9" s="48">
        <f t="shared" si="1"/>
        <v>49.30000000000001</v>
      </c>
    </row>
    <row r="10" spans="1:9" ht="18">
      <c r="A10" s="26" t="s">
        <v>1</v>
      </c>
      <c r="B10" s="46">
        <v>21092.8</v>
      </c>
      <c r="C10" s="47">
        <f>28052.9-28-1051.6+141.1</f>
        <v>27114.4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</f>
        <v>15729.500000000007</v>
      </c>
      <c r="E10" s="1">
        <f>D10/D6*100</f>
        <v>5.894605009561709</v>
      </c>
      <c r="F10" s="1">
        <f aca="true" t="shared" si="3" ref="F10:F41">D10/B10*100</f>
        <v>74.57284002123951</v>
      </c>
      <c r="G10" s="1">
        <f t="shared" si="0"/>
        <v>58.01161006697551</v>
      </c>
      <c r="H10" s="48">
        <f t="shared" si="2"/>
        <v>5363.299999999992</v>
      </c>
      <c r="I10" s="48">
        <f t="shared" si="1"/>
        <v>11384.899999999994</v>
      </c>
    </row>
    <row r="11" spans="1:9" ht="18">
      <c r="A11" s="26" t="s">
        <v>0</v>
      </c>
      <c r="B11" s="46">
        <v>48819.5</v>
      </c>
      <c r="C11" s="47">
        <f>71654.8+3326</f>
        <v>74980.8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</f>
        <v>31895.2</v>
      </c>
      <c r="E11" s="1">
        <f>D11/D6*100</f>
        <v>11.952675272638833</v>
      </c>
      <c r="F11" s="1">
        <f t="shared" si="3"/>
        <v>65.33291000522333</v>
      </c>
      <c r="G11" s="1">
        <f t="shared" si="0"/>
        <v>42.537823016025435</v>
      </c>
      <c r="H11" s="48">
        <f t="shared" si="2"/>
        <v>16924.3</v>
      </c>
      <c r="I11" s="48">
        <f t="shared" si="1"/>
        <v>43085.600000000006</v>
      </c>
    </row>
    <row r="12" spans="1:9" ht="18">
      <c r="A12" s="26" t="s">
        <v>15</v>
      </c>
      <c r="B12" s="46">
        <v>10501.3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</f>
        <v>8164.000000000001</v>
      </c>
      <c r="E12" s="1">
        <f>D12/D6*100</f>
        <v>3.059445964465608</v>
      </c>
      <c r="F12" s="1">
        <f t="shared" si="3"/>
        <v>77.7427556588232</v>
      </c>
      <c r="G12" s="1">
        <f t="shared" si="0"/>
        <v>55.38670284938942</v>
      </c>
      <c r="H12" s="48">
        <f t="shared" si="2"/>
        <v>2337.2999999999984</v>
      </c>
      <c r="I12" s="48">
        <f t="shared" si="1"/>
        <v>6575.999999999999</v>
      </c>
    </row>
    <row r="13" spans="1:9" ht="18.75" thickBot="1">
      <c r="A13" s="26" t="s">
        <v>34</v>
      </c>
      <c r="B13" s="47">
        <f>B6-B8-B9-B10-B11-B12</f>
        <v>12988.899999999983</v>
      </c>
      <c r="C13" s="47">
        <f>C6-C8-C9-C10-C11-C12</f>
        <v>16056.900000000038</v>
      </c>
      <c r="D13" s="47">
        <f>D6-D8-D9-D10-D11-D12</f>
        <v>8467.100000000031</v>
      </c>
      <c r="E13" s="1">
        <f>D13/D6*100</f>
        <v>3.173032205503043</v>
      </c>
      <c r="F13" s="1">
        <f t="shared" si="3"/>
        <v>65.18719830008732</v>
      </c>
      <c r="G13" s="1">
        <f t="shared" si="0"/>
        <v>52.73184736779834</v>
      </c>
      <c r="H13" s="48">
        <f t="shared" si="2"/>
        <v>4521.799999999952</v>
      </c>
      <c r="I13" s="48">
        <f t="shared" si="1"/>
        <v>7589.800000000007</v>
      </c>
    </row>
    <row r="14" spans="1:9" s="41" customFormat="1" ht="18.75" customHeight="1" hidden="1">
      <c r="A14" s="104" t="s">
        <v>77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74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75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76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196289.2</v>
      </c>
      <c r="C18" s="50">
        <f>250434.1+666.5+2890.8+76.6+110+6034</f>
        <v>260212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</f>
        <v>163734.40000000002</v>
      </c>
      <c r="E18" s="3">
        <f>D18/D150*100</f>
        <v>16.78851590964693</v>
      </c>
      <c r="F18" s="3">
        <f>D18/B18*100</f>
        <v>83.41487967753703</v>
      </c>
      <c r="G18" s="3">
        <f t="shared" si="0"/>
        <v>62.92346240757537</v>
      </c>
      <c r="H18" s="51">
        <f>B18-D18</f>
        <v>32554.79999999999</v>
      </c>
      <c r="I18" s="51">
        <f t="shared" si="1"/>
        <v>96477.59999999998</v>
      </c>
    </row>
    <row r="19" spans="1:9" s="41" customFormat="1" ht="18.75">
      <c r="A19" s="112" t="s">
        <v>98</v>
      </c>
      <c r="B19" s="105">
        <v>142085.1</v>
      </c>
      <c r="C19" s="102">
        <f>188049.2+2890.8+579.6</f>
        <v>191519.6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</f>
        <v>119727.59999999996</v>
      </c>
      <c r="E19" s="103">
        <f>D19/D18*100</f>
        <v>73.12305783024212</v>
      </c>
      <c r="F19" s="103">
        <f t="shared" si="3"/>
        <v>84.2647117818828</v>
      </c>
      <c r="G19" s="103">
        <f t="shared" si="0"/>
        <v>62.51454159260982</v>
      </c>
      <c r="H19" s="113">
        <f t="shared" si="2"/>
        <v>22357.500000000044</v>
      </c>
      <c r="I19" s="113">
        <f t="shared" si="1"/>
        <v>71792.00000000004</v>
      </c>
    </row>
    <row r="20" spans="1:9" ht="18">
      <c r="A20" s="26" t="s">
        <v>5</v>
      </c>
      <c r="B20" s="46">
        <v>144064.1</v>
      </c>
      <c r="C20" s="47">
        <f>186641.3+2944.5</f>
        <v>189585.8</v>
      </c>
      <c r="D20" s="48">
        <f>5722.2+1+8655.9+32.9+2.4+5725.7+8251+357.7+0.1+5829.5+27.9+3957+4812.9+26.7+6036.7+16.8+6839+2416.2+22.3+6209+10229+319.3+6468+9728.3+1605.6+3790.5+3239.9+10406.4+0.1+6965.8+3+5278.9+3995.6+0.1</f>
        <v>126973.40000000001</v>
      </c>
      <c r="E20" s="1">
        <f>D20/D18*100</f>
        <v>77.5483954501925</v>
      </c>
      <c r="F20" s="1">
        <f t="shared" si="3"/>
        <v>88.13673913209468</v>
      </c>
      <c r="G20" s="1">
        <f t="shared" si="0"/>
        <v>66.97410882038635</v>
      </c>
      <c r="H20" s="48">
        <f t="shared" si="2"/>
        <v>17090.699999999997</v>
      </c>
      <c r="I20" s="48">
        <f t="shared" si="1"/>
        <v>62612.39999999998</v>
      </c>
    </row>
    <row r="21" spans="1:9" ht="18">
      <c r="A21" s="26" t="s">
        <v>2</v>
      </c>
      <c r="B21" s="46">
        <v>18737.9</v>
      </c>
      <c r="C21" s="47">
        <f>20454.1+500+110+1045.6</f>
        <v>22109.699999999997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</f>
        <v>14581.900000000001</v>
      </c>
      <c r="E21" s="1">
        <f>D21/D18*100</f>
        <v>8.905825532081224</v>
      </c>
      <c r="F21" s="1">
        <f t="shared" si="3"/>
        <v>77.82035340139504</v>
      </c>
      <c r="G21" s="1">
        <f t="shared" si="0"/>
        <v>65.95250048621195</v>
      </c>
      <c r="H21" s="48">
        <f t="shared" si="2"/>
        <v>4156</v>
      </c>
      <c r="I21" s="48">
        <f t="shared" si="1"/>
        <v>7527.799999999996</v>
      </c>
    </row>
    <row r="22" spans="1:9" ht="18">
      <c r="A22" s="26" t="s">
        <v>1</v>
      </c>
      <c r="B22" s="46">
        <v>3133.3</v>
      </c>
      <c r="C22" s="47">
        <v>3917.9</v>
      </c>
      <c r="D22" s="48">
        <f>127.7+23.6+33.5+86.7+19.5+2.9+68.3+78.1+10.6+165.4+2.5+15.8+6.5+60.2+104.3+141.7+2.3+23.7+90.2+22.1+28.3+93.7+27.2-0.1+0.2+54.7+9.9+37.6+110.2+182.3+0.1+39.2+35.9+64.9+14.2+28+147.6+14.5+0.1+67.9+38.7+142.7+29+23+176.1+16.8+117.5+127.9+4.9+25.4+0.3</f>
        <v>2744.3000000000006</v>
      </c>
      <c r="E22" s="1">
        <f>D22/D18*100</f>
        <v>1.6760680712177771</v>
      </c>
      <c r="F22" s="1">
        <f t="shared" si="3"/>
        <v>87.58497430823734</v>
      </c>
      <c r="G22" s="1">
        <f t="shared" si="0"/>
        <v>70.04517726332986</v>
      </c>
      <c r="H22" s="48">
        <f t="shared" si="2"/>
        <v>388.99999999999955</v>
      </c>
      <c r="I22" s="48">
        <f t="shared" si="1"/>
        <v>1173.5999999999995</v>
      </c>
    </row>
    <row r="23" spans="1:9" ht="18">
      <c r="A23" s="26" t="s">
        <v>0</v>
      </c>
      <c r="B23" s="46">
        <v>18016</v>
      </c>
      <c r="C23" s="47">
        <f>27804.4+1919</f>
        <v>29723.4</v>
      </c>
      <c r="D23" s="48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</f>
        <v>14444.699999999997</v>
      </c>
      <c r="E23" s="1">
        <f>D23/D18*100</f>
        <v>8.822031289698435</v>
      </c>
      <c r="F23" s="1">
        <f t="shared" si="3"/>
        <v>80.17706483126108</v>
      </c>
      <c r="G23" s="1">
        <f t="shared" si="0"/>
        <v>48.59706493873512</v>
      </c>
      <c r="H23" s="48">
        <f t="shared" si="2"/>
        <v>3571.300000000003</v>
      </c>
      <c r="I23" s="48">
        <f t="shared" si="1"/>
        <v>15278.700000000004</v>
      </c>
    </row>
    <row r="24" spans="1:9" ht="18">
      <c r="A24" s="26" t="s">
        <v>15</v>
      </c>
      <c r="B24" s="46">
        <v>1212.1</v>
      </c>
      <c r="C24" s="47">
        <v>1591.6</v>
      </c>
      <c r="D24" s="48">
        <f>73.6+22.6+5.3+2.4+2.5+128.1+0.1+11.5+121.2+11.2-0.1+27.3+71.1+31.4-0.1+0.8+24.6+83.5+19.6+26.5+24.2+67.9+2.3+4+48.1+8.9+75.1+2+0.1+126.5+0.8</f>
        <v>1022.9999999999999</v>
      </c>
      <c r="E24" s="1">
        <f>D24/D18*100</f>
        <v>0.6247923466296634</v>
      </c>
      <c r="F24" s="1">
        <f t="shared" si="3"/>
        <v>84.39897698209718</v>
      </c>
      <c r="G24" s="1">
        <f t="shared" si="0"/>
        <v>64.27494345312891</v>
      </c>
      <c r="H24" s="48">
        <f t="shared" si="2"/>
        <v>189.10000000000002</v>
      </c>
      <c r="I24" s="48">
        <f t="shared" si="1"/>
        <v>568.6</v>
      </c>
    </row>
    <row r="25" spans="1:9" ht="18.75" thickBot="1">
      <c r="A25" s="26" t="s">
        <v>34</v>
      </c>
      <c r="B25" s="47">
        <f>B18-B20-B21-B22-B23-B24</f>
        <v>11125.800000000005</v>
      </c>
      <c r="C25" s="47">
        <f>C18-C20-C21-C22-C23-C24</f>
        <v>13283.600000000011</v>
      </c>
      <c r="D25" s="47">
        <f>D18-D20-D21-D22-D23-D24</f>
        <v>3967.1000000000167</v>
      </c>
      <c r="E25" s="1">
        <f>D25/D18*100</f>
        <v>2.4228873101804</v>
      </c>
      <c r="F25" s="1">
        <f t="shared" si="3"/>
        <v>35.65676176095216</v>
      </c>
      <c r="G25" s="1">
        <f t="shared" si="0"/>
        <v>29.864645126321278</v>
      </c>
      <c r="H25" s="48">
        <f t="shared" si="2"/>
        <v>7158.699999999988</v>
      </c>
      <c r="I25" s="48">
        <f t="shared" si="1"/>
        <v>9316.499999999995</v>
      </c>
    </row>
    <row r="26" spans="1:9" ht="57" hidden="1" thickBot="1">
      <c r="A26" s="104" t="s">
        <v>85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86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87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88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89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90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91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37065.9</v>
      </c>
      <c r="C33" s="50">
        <f>50266.1+19.2-3069.6+1137.5</f>
        <v>48353.2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</f>
        <v>31635.1</v>
      </c>
      <c r="E33" s="3">
        <f>D33/D150*100</f>
        <v>3.2437067571217253</v>
      </c>
      <c r="F33" s="3">
        <f>D33/B33*100</f>
        <v>85.34825810246075</v>
      </c>
      <c r="G33" s="3">
        <f t="shared" si="0"/>
        <v>65.42503908738202</v>
      </c>
      <c r="H33" s="51">
        <f t="shared" si="2"/>
        <v>5430.800000000003</v>
      </c>
      <c r="I33" s="51">
        <f t="shared" si="1"/>
        <v>16718.1</v>
      </c>
    </row>
    <row r="34" spans="1:9" ht="18">
      <c r="A34" s="26" t="s">
        <v>3</v>
      </c>
      <c r="B34" s="46">
        <v>26991.2</v>
      </c>
      <c r="C34" s="47">
        <f>35016.6+195.2+1137.5</f>
        <v>36349.299999999996</v>
      </c>
      <c r="D34" s="48">
        <f>1335+1268.2+1354.9+1304.2+1357+1359.6+1365.6+1342.2+1381.4+3.9+1624.5+11.9+0.1+10+3950.5+2820.4+0.1+74+93.6+20+430.6+329.1+0.1+119.6+19.5+358.3+39+1137.3+0.1+58.6+10</f>
        <v>23179.29999999999</v>
      </c>
      <c r="E34" s="1">
        <f>D34/D33*100</f>
        <v>73.27082892104019</v>
      </c>
      <c r="F34" s="1">
        <f t="shared" si="3"/>
        <v>85.87724888111677</v>
      </c>
      <c r="G34" s="1">
        <f t="shared" si="0"/>
        <v>63.768215619007776</v>
      </c>
      <c r="H34" s="48">
        <f t="shared" si="2"/>
        <v>3811.9000000000124</v>
      </c>
      <c r="I34" s="48">
        <f t="shared" si="1"/>
        <v>13170.000000000007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1918.5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</f>
        <v>1267.4999999999995</v>
      </c>
      <c r="E36" s="1">
        <f>D36/D33*100</f>
        <v>4.0066255519976215</v>
      </c>
      <c r="F36" s="1">
        <f t="shared" si="3"/>
        <v>66.06724003127441</v>
      </c>
      <c r="G36" s="1">
        <f t="shared" si="0"/>
        <v>37.45124689752983</v>
      </c>
      <c r="H36" s="48">
        <f t="shared" si="2"/>
        <v>651.0000000000005</v>
      </c>
      <c r="I36" s="48">
        <f t="shared" si="1"/>
        <v>2116.9000000000005</v>
      </c>
    </row>
    <row r="37" spans="1:9" s="41" customFormat="1" ht="18.75">
      <c r="A37" s="20" t="s">
        <v>7</v>
      </c>
      <c r="B37" s="55">
        <v>824.4</v>
      </c>
      <c r="C37" s="56">
        <v>929.3</v>
      </c>
      <c r="D37" s="57">
        <f>11.2+19.5+15.2+5+5.7-0.1+1.9+5.1+7+0.3+7.7+25.8+82+15.4+14.3+13.2+14.4+42.6+0.1+37.6+3+2.6+0.8+1.6+3.9+98.6</f>
        <v>434.4000000000001</v>
      </c>
      <c r="E37" s="17">
        <f>D37/D33*100</f>
        <v>1.3731582956905466</v>
      </c>
      <c r="F37" s="17">
        <f t="shared" si="3"/>
        <v>52.69286754002912</v>
      </c>
      <c r="G37" s="17">
        <f t="shared" si="0"/>
        <v>46.7448617238782</v>
      </c>
      <c r="H37" s="57">
        <f t="shared" si="2"/>
        <v>389.9999999999999</v>
      </c>
      <c r="I37" s="57">
        <f t="shared" si="1"/>
        <v>494.89999999999986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0.08060666791001135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7306.300000000001</v>
      </c>
      <c r="C39" s="46">
        <f>C33-C34-C36-C37-C35-C38</f>
        <v>7629.4000000000015</v>
      </c>
      <c r="D39" s="46">
        <f>D33-D34-D36-D37-D35-D38</f>
        <v>6728.400000000011</v>
      </c>
      <c r="E39" s="1">
        <f>D39/D33*100</f>
        <v>21.268780563361616</v>
      </c>
      <c r="F39" s="1">
        <f t="shared" si="3"/>
        <v>92.09038774756046</v>
      </c>
      <c r="G39" s="1">
        <f t="shared" si="0"/>
        <v>88.19042126510615</v>
      </c>
      <c r="H39" s="48">
        <f>B39-D39</f>
        <v>577.8999999999905</v>
      </c>
      <c r="I39" s="48">
        <f t="shared" si="1"/>
        <v>900.9999999999909</v>
      </c>
    </row>
    <row r="40" spans="1:9" ht="19.5" hidden="1" thickBot="1">
      <c r="A40" s="104" t="s">
        <v>82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83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84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939.9</v>
      </c>
      <c r="C43" s="50">
        <f>829.5+61+9+3+3+433</f>
        <v>1338.5</v>
      </c>
      <c r="D43" s="51">
        <f>22.2+3+5+12.1+5.3+62.1+8.7+22.7+11.7+44.1-0.1+8.7+8.3+9+2+12.1+30.9+11+14.3+28.5+0.1+1.2+34+0.6+0.1+2.3+3+1.5+17.9+19.5+82.4-0.1+0.8+8.4+18.6+22.3+0.1+13.7+8+9.3+10.6+0.7+8+22.7+7</f>
        <v>614.3000000000002</v>
      </c>
      <c r="E43" s="3">
        <f>D43/D150*100</f>
        <v>0.06298728503781802</v>
      </c>
      <c r="F43" s="3">
        <f>D43/B43*100</f>
        <v>65.35801681029899</v>
      </c>
      <c r="G43" s="3">
        <f t="shared" si="0"/>
        <v>45.89465819947704</v>
      </c>
      <c r="H43" s="51">
        <f t="shared" si="2"/>
        <v>325.5999999999998</v>
      </c>
      <c r="I43" s="51">
        <f t="shared" si="1"/>
        <v>724.1999999999998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5680.4</v>
      </c>
      <c r="C45" s="50">
        <f>7741.6+45.3</f>
        <v>7786.900000000001</v>
      </c>
      <c r="D45" s="51">
        <f>224.1+260.8+14.4+236.4+3.2+114.6+291.3+0.1+96+241.4+13.4+0.1+331+0.7-0.1+39.8+268.9+0.5+9.3+307.6+278.3+1.8+5.2+302.3+9.3+4.6+275.3+25.3+352.3+6.4+0.1+14.8+50.6+5.2+267.1+7.9+293.7+39+18+185.4+5.5+5.1+343.4-0.1</f>
        <v>4950</v>
      </c>
      <c r="E45" s="3">
        <f>D45/D150*100</f>
        <v>0.5075485283040845</v>
      </c>
      <c r="F45" s="3">
        <f>D45/B45*100</f>
        <v>87.14175058094501</v>
      </c>
      <c r="G45" s="3">
        <f aca="true" t="shared" si="4" ref="G45:G76">D45/C45*100</f>
        <v>63.56830060743043</v>
      </c>
      <c r="H45" s="51">
        <f>B45-D45</f>
        <v>730.3999999999996</v>
      </c>
      <c r="I45" s="51">
        <f aca="true" t="shared" si="5" ref="I45:I77">C45-D45</f>
        <v>2836.9000000000005</v>
      </c>
    </row>
    <row r="46" spans="1:9" ht="18">
      <c r="A46" s="26" t="s">
        <v>3</v>
      </c>
      <c r="B46" s="46">
        <v>5037.6</v>
      </c>
      <c r="C46" s="47">
        <v>6753.6</v>
      </c>
      <c r="D46" s="48">
        <f>224.1+258.6+235.3+288.8+241.4+328.6+224.6+306.6+239.4+298.3+269.8+13.5+346.9+45.8+263.2+291.7-0.1+38.6+180.3+343.4</f>
        <v>4438.8</v>
      </c>
      <c r="E46" s="1">
        <f>D46/D45*100</f>
        <v>89.67272727272729</v>
      </c>
      <c r="F46" s="1">
        <f aca="true" t="shared" si="6" ref="F46:F74">D46/B46*100</f>
        <v>88.11338732729871</v>
      </c>
      <c r="G46" s="1">
        <f t="shared" si="4"/>
        <v>65.72494669509594</v>
      </c>
      <c r="H46" s="48">
        <f aca="true" t="shared" si="7" ref="H46:H74">B46-D46</f>
        <v>598.8000000000002</v>
      </c>
      <c r="I46" s="48">
        <f t="shared" si="5"/>
        <v>2314.8</v>
      </c>
    </row>
    <row r="47" spans="1:9" ht="18">
      <c r="A47" s="26" t="s">
        <v>2</v>
      </c>
      <c r="B47" s="46">
        <v>1.1</v>
      </c>
      <c r="C47" s="47">
        <v>1.3</v>
      </c>
      <c r="D47" s="48">
        <f>0.3+0.4+0.1</f>
        <v>0.7999999999999999</v>
      </c>
      <c r="E47" s="1">
        <f>D47/D45*100</f>
        <v>0.016161616161616158</v>
      </c>
      <c r="F47" s="1">
        <f t="shared" si="6"/>
        <v>72.72727272727272</v>
      </c>
      <c r="G47" s="1">
        <f t="shared" si="4"/>
        <v>61.53846153846153</v>
      </c>
      <c r="H47" s="48">
        <f t="shared" si="7"/>
        <v>0.30000000000000016</v>
      </c>
      <c r="I47" s="48">
        <f t="shared" si="5"/>
        <v>0.5000000000000001</v>
      </c>
    </row>
    <row r="48" spans="1:9" ht="18">
      <c r="A48" s="26" t="s">
        <v>1</v>
      </c>
      <c r="B48" s="46">
        <v>39.2</v>
      </c>
      <c r="C48" s="47">
        <v>70.7</v>
      </c>
      <c r="D48" s="48">
        <f>0.2+2.1+0.1+6.5+6.7-0.1+7+4.6+1.6+2+4.6</f>
        <v>35.300000000000004</v>
      </c>
      <c r="E48" s="1">
        <f>D48/D45*100</f>
        <v>0.7131313131313133</v>
      </c>
      <c r="F48" s="1">
        <f t="shared" si="6"/>
        <v>90.05102040816327</v>
      </c>
      <c r="G48" s="1">
        <f t="shared" si="4"/>
        <v>49.92927864214993</v>
      </c>
      <c r="H48" s="48">
        <f t="shared" si="7"/>
        <v>3.8999999999999986</v>
      </c>
      <c r="I48" s="48">
        <f t="shared" si="5"/>
        <v>35.4</v>
      </c>
    </row>
    <row r="49" spans="1:9" ht="18">
      <c r="A49" s="26" t="s">
        <v>0</v>
      </c>
      <c r="B49" s="46">
        <v>337.1</v>
      </c>
      <c r="C49" s="47">
        <f>568.5+40.5</f>
        <v>609</v>
      </c>
      <c r="D49" s="48">
        <f>2.2+2.5+0.8+112.4+2.2+0.1+69.1+4.4-0.1+35.2+27.4+4.8+1+22.3+2.5+1.6+0.6+4.2-0.1+0.5+5.1+0.3+0.5+1.6</f>
        <v>301.1000000000001</v>
      </c>
      <c r="E49" s="1">
        <f>D49/D45*100</f>
        <v>6.0828282828282845</v>
      </c>
      <c r="F49" s="1">
        <f t="shared" si="6"/>
        <v>89.32067635716406</v>
      </c>
      <c r="G49" s="1">
        <f t="shared" si="4"/>
        <v>49.4417077175698</v>
      </c>
      <c r="H49" s="48">
        <f t="shared" si="7"/>
        <v>35.99999999999994</v>
      </c>
      <c r="I49" s="48">
        <f t="shared" si="5"/>
        <v>307.8999999999999</v>
      </c>
    </row>
    <row r="50" spans="1:9" ht="18.75" thickBot="1">
      <c r="A50" s="26" t="s">
        <v>34</v>
      </c>
      <c r="B50" s="47">
        <f>B45-B46-B49-B48-B47</f>
        <v>265.39999999999924</v>
      </c>
      <c r="C50" s="47">
        <f>C45-C46-C49-C48-C47</f>
        <v>352.3000000000002</v>
      </c>
      <c r="D50" s="47">
        <f>D45-D46-D49-D48-D47</f>
        <v>173.99999999999972</v>
      </c>
      <c r="E50" s="1">
        <f>D50/D45*100</f>
        <v>3.5151515151515094</v>
      </c>
      <c r="F50" s="1">
        <f t="shared" si="6"/>
        <v>65.56141672946504</v>
      </c>
      <c r="G50" s="1">
        <f t="shared" si="4"/>
        <v>49.38972466647733</v>
      </c>
      <c r="H50" s="48">
        <f t="shared" si="7"/>
        <v>91.39999999999952</v>
      </c>
      <c r="I50" s="48">
        <f t="shared" si="5"/>
        <v>178.30000000000047</v>
      </c>
    </row>
    <row r="51" spans="1:9" ht="18.75" thickBot="1">
      <c r="A51" s="25" t="s">
        <v>4</v>
      </c>
      <c r="B51" s="49">
        <v>12847.3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</f>
        <v>9584.699999999995</v>
      </c>
      <c r="E51" s="3">
        <f>D51/D150*100</f>
        <v>0.9827677533810416</v>
      </c>
      <c r="F51" s="3">
        <f>D51/B51*100</f>
        <v>74.60478077105692</v>
      </c>
      <c r="G51" s="3">
        <f t="shared" si="4"/>
        <v>55.91648143934751</v>
      </c>
      <c r="H51" s="51">
        <f>B51-D51</f>
        <v>3262.600000000004</v>
      </c>
      <c r="I51" s="51">
        <f t="shared" si="5"/>
        <v>7556.400000000003</v>
      </c>
    </row>
    <row r="52" spans="1:9" ht="18">
      <c r="A52" s="26" t="s">
        <v>3</v>
      </c>
      <c r="B52" s="46">
        <v>7647.2</v>
      </c>
      <c r="C52" s="47">
        <v>10328.7</v>
      </c>
      <c r="D52" s="48">
        <f>8+294.9+437.7+298.5+423.7+297.9+451.2+294.5+446+301+554.2+412+820.4+487.4+393.4+0.1+169.4+354.3-0.1</f>
        <v>6444.499999999998</v>
      </c>
      <c r="E52" s="1">
        <f>D52/D51*100</f>
        <v>67.2373678884055</v>
      </c>
      <c r="F52" s="1">
        <f t="shared" si="6"/>
        <v>84.27267496600061</v>
      </c>
      <c r="G52" s="1">
        <f t="shared" si="4"/>
        <v>62.3941057441885</v>
      </c>
      <c r="H52" s="48">
        <f t="shared" si="7"/>
        <v>1202.7000000000016</v>
      </c>
      <c r="I52" s="48">
        <f t="shared" si="5"/>
        <v>3884.2000000000025</v>
      </c>
    </row>
    <row r="53" spans="1:9" ht="18">
      <c r="A53" s="26" t="s">
        <v>2</v>
      </c>
      <c r="B53" s="46">
        <v>3</v>
      </c>
      <c r="C53" s="47">
        <v>12</v>
      </c>
      <c r="D53" s="48"/>
      <c r="E53" s="1">
        <f>D53/D51*100</f>
        <v>0</v>
      </c>
      <c r="F53" s="111">
        <f t="shared" si="6"/>
        <v>0</v>
      </c>
      <c r="G53" s="1">
        <f t="shared" si="4"/>
        <v>0</v>
      </c>
      <c r="H53" s="48">
        <f t="shared" si="7"/>
        <v>3</v>
      </c>
      <c r="I53" s="48">
        <f t="shared" si="5"/>
        <v>12</v>
      </c>
    </row>
    <row r="54" spans="1:9" ht="18">
      <c r="A54" s="26" t="s">
        <v>1</v>
      </c>
      <c r="B54" s="46">
        <v>211.3</v>
      </c>
      <c r="C54" s="47">
        <v>287</v>
      </c>
      <c r="D54" s="48">
        <f>1.3+0.7+2.1+1+1.3+7.6+7.5+6.3+0.4+13+20.7+0.5+5.3+9.4+10+8.9+5.1+7.2+1-0.1+17.9+7.1+3.8+1.6+1.9+6.6+0.6</f>
        <v>148.70000000000002</v>
      </c>
      <c r="E54" s="1">
        <f>D54/D51*100</f>
        <v>1.5514309263722401</v>
      </c>
      <c r="F54" s="1">
        <f t="shared" si="6"/>
        <v>70.37387600567914</v>
      </c>
      <c r="G54" s="1">
        <f t="shared" si="4"/>
        <v>51.81184668989548</v>
      </c>
      <c r="H54" s="48">
        <f t="shared" si="7"/>
        <v>62.599999999999994</v>
      </c>
      <c r="I54" s="48">
        <f t="shared" si="5"/>
        <v>138.29999999999998</v>
      </c>
    </row>
    <row r="55" spans="1:9" ht="18">
      <c r="A55" s="26" t="s">
        <v>0</v>
      </c>
      <c r="B55" s="46">
        <v>613.8</v>
      </c>
      <c r="C55" s="47">
        <v>933.1</v>
      </c>
      <c r="D55" s="48">
        <f>10.7+0.6+7.6+85.1+28.4+14.4+0.1+8.5+0.1+7+0.1+7.7+62.8+6+1.3+0.9+0.9+1+0.7+0.1+4.7+15.2+34.9+9+4+15.8+5.5+7+1.9+1.5+0.1+2.4+1.8+3.7+1.3+4.5+2.3+0.7+0.1+1.8+6.8+1.6+0.7+0.5+1.1+12.5+0.8</f>
        <v>386.20000000000005</v>
      </c>
      <c r="E55" s="1">
        <f>D55/D51*100</f>
        <v>4.029338424781164</v>
      </c>
      <c r="F55" s="1">
        <f t="shared" si="6"/>
        <v>62.91951775822745</v>
      </c>
      <c r="G55" s="1">
        <f t="shared" si="4"/>
        <v>41.38891865823599</v>
      </c>
      <c r="H55" s="48">
        <f t="shared" si="7"/>
        <v>227.5999999999999</v>
      </c>
      <c r="I55" s="48">
        <f t="shared" si="5"/>
        <v>546.9</v>
      </c>
    </row>
    <row r="56" spans="1:9" ht="18">
      <c r="A56" s="26" t="s">
        <v>15</v>
      </c>
      <c r="B56" s="46">
        <v>200</v>
      </c>
      <c r="C56" s="47">
        <v>200</v>
      </c>
      <c r="D56" s="47">
        <f>40+40+40</f>
        <v>120</v>
      </c>
      <c r="E56" s="1">
        <f>D56/D51*100</f>
        <v>1.2519953676171405</v>
      </c>
      <c r="F56" s="1">
        <f>D56/B56*100</f>
        <v>60</v>
      </c>
      <c r="G56" s="1">
        <f>D56/C56*100</f>
        <v>60</v>
      </c>
      <c r="H56" s="48">
        <f t="shared" si="7"/>
        <v>80</v>
      </c>
      <c r="I56" s="48">
        <f t="shared" si="5"/>
        <v>80</v>
      </c>
    </row>
    <row r="57" spans="1:9" ht="18.75" thickBot="1">
      <c r="A57" s="26" t="s">
        <v>34</v>
      </c>
      <c r="B57" s="47">
        <f>B51-B52-B55-B54-B53-B56</f>
        <v>4171.999999999999</v>
      </c>
      <c r="C57" s="47">
        <f>C51-C52-C55-C54-C53-C56</f>
        <v>5380.299999999997</v>
      </c>
      <c r="D57" s="47">
        <f>D51-D52-D55-D54-D53-D56</f>
        <v>2485.2999999999975</v>
      </c>
      <c r="E57" s="1">
        <f>D57/D51*100</f>
        <v>25.92986739282397</v>
      </c>
      <c r="F57" s="1">
        <f t="shared" si="6"/>
        <v>59.5709491850431</v>
      </c>
      <c r="G57" s="1">
        <f t="shared" si="4"/>
        <v>46.192591491180764</v>
      </c>
      <c r="H57" s="48">
        <f>B57-D57</f>
        <v>1686.7000000000016</v>
      </c>
      <c r="I57" s="48">
        <f>C57-D57</f>
        <v>2895</v>
      </c>
    </row>
    <row r="58" spans="1:9" s="41" customFormat="1" ht="19.5" hidden="1" thickBot="1">
      <c r="A58" s="104" t="s">
        <v>81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v>5427</v>
      </c>
      <c r="C59" s="50">
        <f>5881.8+134.4+115.2</f>
        <v>6131.4</v>
      </c>
      <c r="D59" s="51">
        <f>43.5+4.7+72.8+47.2+46+5+62.5+3.8+40.9+35.3+2.1+2.9+21.1+3.9+86.8+0.2+2.7+44.1+47.3+140.1+0.1+45.6+13.8+0.9+95.5-0.1+6.7+60.6+0.7+0.5+92.7+2.8+4+111.8+66.3+34+5.8+77.7+2.3+68.7+75.6+2+307.4+46.6+2.4+84.1+735</f>
        <v>2656.3999999999996</v>
      </c>
      <c r="E59" s="3">
        <f>D59/D150*100</f>
        <v>0.272374123350903</v>
      </c>
      <c r="F59" s="3">
        <f>D59/B59*100</f>
        <v>48.94785332596277</v>
      </c>
      <c r="G59" s="3">
        <f t="shared" si="4"/>
        <v>43.3245262093486</v>
      </c>
      <c r="H59" s="51">
        <f>B59-D59</f>
        <v>2770.6000000000004</v>
      </c>
      <c r="I59" s="51">
        <f t="shared" si="5"/>
        <v>3475</v>
      </c>
    </row>
    <row r="60" spans="1:9" ht="18">
      <c r="A60" s="26" t="s">
        <v>3</v>
      </c>
      <c r="B60" s="46">
        <v>1249.5</v>
      </c>
      <c r="C60" s="47">
        <f>1508.2+134.4</f>
        <v>1642.6000000000001</v>
      </c>
      <c r="D60" s="48">
        <f>43.5+72.8+47.2+62.5+0.1+35.3+86.8+44.1+125.7+41.4+92.3+60.6+92.7+66.3+68.7-0.1+2+54.7+84.1</f>
        <v>1080.7</v>
      </c>
      <c r="E60" s="1">
        <f>D60/D59*100</f>
        <v>40.68287908447524</v>
      </c>
      <c r="F60" s="1">
        <f t="shared" si="6"/>
        <v>86.4905962384954</v>
      </c>
      <c r="G60" s="1">
        <f t="shared" si="4"/>
        <v>65.79203701448922</v>
      </c>
      <c r="H60" s="48">
        <f t="shared" si="7"/>
        <v>168.79999999999995</v>
      </c>
      <c r="I60" s="48">
        <f t="shared" si="5"/>
        <v>561.9000000000001</v>
      </c>
    </row>
    <row r="61" spans="1:9" ht="18">
      <c r="A61" s="26" t="s">
        <v>1</v>
      </c>
      <c r="B61" s="46">
        <v>331.8</v>
      </c>
      <c r="C61" s="47">
        <v>331.8</v>
      </c>
      <c r="D61" s="48">
        <f>111.8+77.7+75.6+46.6</f>
        <v>311.70000000000005</v>
      </c>
      <c r="E61" s="1">
        <f>D61/D59*100</f>
        <v>11.733925613612412</v>
      </c>
      <c r="F61" s="1">
        <f>D61/B61*100</f>
        <v>93.94213381555154</v>
      </c>
      <c r="G61" s="1">
        <f t="shared" si="4"/>
        <v>93.94213381555154</v>
      </c>
      <c r="H61" s="48">
        <f t="shared" si="7"/>
        <v>20.099999999999966</v>
      </c>
      <c r="I61" s="48">
        <f t="shared" si="5"/>
        <v>20.099999999999966</v>
      </c>
    </row>
    <row r="62" spans="1:9" ht="18">
      <c r="A62" s="26" t="s">
        <v>0</v>
      </c>
      <c r="B62" s="46">
        <v>377.3</v>
      </c>
      <c r="C62" s="47">
        <v>627.5</v>
      </c>
      <c r="D62" s="48">
        <f>4.7+45.7+4.9+40.9+19.8+3.9+46.3+9+12.6+0.9+3+0.3+2.8+0.3+0.1+2.2+0.3+2.2</f>
        <v>199.9</v>
      </c>
      <c r="E62" s="1">
        <f>D62/D59*100</f>
        <v>7.525222105104653</v>
      </c>
      <c r="F62" s="1">
        <f t="shared" si="6"/>
        <v>52.98171216538563</v>
      </c>
      <c r="G62" s="1">
        <f t="shared" si="4"/>
        <v>31.856573705179287</v>
      </c>
      <c r="H62" s="48">
        <f t="shared" si="7"/>
        <v>177.4</v>
      </c>
      <c r="I62" s="48">
        <f t="shared" si="5"/>
        <v>427.6</v>
      </c>
    </row>
    <row r="63" spans="1:9" ht="18">
      <c r="A63" s="26" t="s">
        <v>15</v>
      </c>
      <c r="B63" s="46">
        <f>3216.2+115.2</f>
        <v>3331.3999999999996</v>
      </c>
      <c r="C63" s="47">
        <f>3216.2+115.2</f>
        <v>3331.3999999999996</v>
      </c>
      <c r="D63" s="48">
        <f>252+735</f>
        <v>987</v>
      </c>
      <c r="E63" s="1">
        <f>D63/D59*100</f>
        <v>37.15554886312303</v>
      </c>
      <c r="F63" s="1">
        <f t="shared" si="6"/>
        <v>29.627183766584626</v>
      </c>
      <c r="G63" s="1">
        <f t="shared" si="4"/>
        <v>29.627183766584626</v>
      </c>
      <c r="H63" s="48">
        <f t="shared" si="7"/>
        <v>2344.3999999999996</v>
      </c>
      <c r="I63" s="48">
        <f t="shared" si="5"/>
        <v>2344.3999999999996</v>
      </c>
    </row>
    <row r="64" spans="1:9" ht="18.75" thickBot="1">
      <c r="A64" s="26" t="s">
        <v>34</v>
      </c>
      <c r="B64" s="47">
        <f>B59-B60-B62-B63-B61</f>
        <v>137.00000000000017</v>
      </c>
      <c r="C64" s="47">
        <f>C59-C60-C62-C63-C61</f>
        <v>198.09999999999962</v>
      </c>
      <c r="D64" s="47">
        <f>D59-D60-D62-D63-D61</f>
        <v>77.09999999999945</v>
      </c>
      <c r="E64" s="1">
        <f>D64/D59*100</f>
        <v>2.902424333684666</v>
      </c>
      <c r="F64" s="1">
        <f t="shared" si="6"/>
        <v>56.27737226277325</v>
      </c>
      <c r="G64" s="1">
        <f t="shared" si="4"/>
        <v>38.919737506309744</v>
      </c>
      <c r="H64" s="48">
        <f t="shared" si="7"/>
        <v>59.900000000000716</v>
      </c>
      <c r="I64" s="48">
        <f t="shared" si="5"/>
        <v>121.00000000000017</v>
      </c>
    </row>
    <row r="65" spans="1:9" s="41" customFormat="1" ht="19.5" hidden="1" thickBot="1">
      <c r="A65" s="104" t="s">
        <v>92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78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79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80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248.10000000000002</v>
      </c>
      <c r="C69" s="50">
        <f>C70+C71</f>
        <v>369.7</v>
      </c>
      <c r="D69" s="51">
        <f>SUM(D70:D71)</f>
        <v>179.5</v>
      </c>
      <c r="E69" s="39">
        <f>D69/D150*100</f>
        <v>0.018405042592037003</v>
      </c>
      <c r="F69" s="3">
        <f>D69/B69*100</f>
        <v>72.34985892785166</v>
      </c>
      <c r="G69" s="3">
        <f t="shared" si="4"/>
        <v>48.55288071409251</v>
      </c>
      <c r="H69" s="51">
        <f>B69-D69</f>
        <v>68.60000000000002</v>
      </c>
      <c r="I69" s="51">
        <f t="shared" si="5"/>
        <v>190.2</v>
      </c>
    </row>
    <row r="70" spans="1:9" ht="18">
      <c r="A70" s="26" t="s">
        <v>8</v>
      </c>
      <c r="B70" s="46">
        <v>170.9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8">
        <f t="shared" si="7"/>
        <v>1</v>
      </c>
      <c r="I70" s="48">
        <f t="shared" si="5"/>
        <v>1.0999999999999943</v>
      </c>
    </row>
    <row r="71" spans="1:9" ht="18.75" thickBot="1">
      <c r="A71" s="26" t="s">
        <v>9</v>
      </c>
      <c r="B71" s="46">
        <v>77.2</v>
      </c>
      <c r="C71" s="47">
        <f>253.4-6+145-41+16.1-168.8</f>
        <v>198.7</v>
      </c>
      <c r="D71" s="48">
        <f>9.6</f>
        <v>9.6</v>
      </c>
      <c r="E71" s="1">
        <f>D71/D70*100</f>
        <v>5.650382577987051</v>
      </c>
      <c r="F71" s="1">
        <f t="shared" si="6"/>
        <v>12.435233160621761</v>
      </c>
      <c r="G71" s="1">
        <f t="shared" si="4"/>
        <v>4.831404126824358</v>
      </c>
      <c r="H71" s="48">
        <f t="shared" si="7"/>
        <v>67.60000000000001</v>
      </c>
      <c r="I71" s="48">
        <f t="shared" si="5"/>
        <v>189.1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818.5</v>
      </c>
      <c r="C77" s="66">
        <f>10000-8192+3069.6</f>
        <v>4877.6</v>
      </c>
      <c r="D77" s="67"/>
      <c r="E77" s="45"/>
      <c r="F77" s="45"/>
      <c r="G77" s="45"/>
      <c r="H77" s="67">
        <f>B77-D77</f>
        <v>818.5</v>
      </c>
      <c r="I77" s="67">
        <f t="shared" si="5"/>
        <v>4877.6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72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71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v>45963.3</v>
      </c>
      <c r="C90" s="50">
        <f>50201.5+5861+2853.8+11.8-0.1+368.5</f>
        <v>59296.50000000001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+3.2+16.1+45.5+127.9+241.6+813.9+349.3+10.7+91.6+15.8+3.9+28.2+5.5+480.3+911.5+1173.2+22.1+24+92.6+21.3+38.1+215.3+162.2+457.8+900.2+167.7+3.4+5.9+41.7+11.1+18.2+49.7+33.7+1.6+11.6+1418.6+962.9-0.2+22.9+173.2+20.8</f>
        <v>37990.999999999985</v>
      </c>
      <c r="E90" s="3">
        <f>D90/D150*100</f>
        <v>3.8954093209697906</v>
      </c>
      <c r="F90" s="3">
        <f aca="true" t="shared" si="10" ref="F90:F96">D90/B90*100</f>
        <v>82.65507480968508</v>
      </c>
      <c r="G90" s="3">
        <f t="shared" si="8"/>
        <v>64.0695487929304</v>
      </c>
      <c r="H90" s="51">
        <f aca="true" t="shared" si="11" ref="H90:H96">B90-D90</f>
        <v>7972.3000000000175</v>
      </c>
      <c r="I90" s="51">
        <f t="shared" si="9"/>
        <v>21305.500000000022</v>
      </c>
    </row>
    <row r="91" spans="1:9" ht="18">
      <c r="A91" s="26" t="s">
        <v>3</v>
      </c>
      <c r="B91" s="46">
        <v>38479.7</v>
      </c>
      <c r="C91" s="47">
        <f>41785.6+5825.3+1852.2+217.6</f>
        <v>49680.7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</f>
        <v>32442.600000000002</v>
      </c>
      <c r="E91" s="1">
        <f>D91/D90*100</f>
        <v>85.39548840514863</v>
      </c>
      <c r="F91" s="1">
        <f t="shared" si="10"/>
        <v>84.31094837017962</v>
      </c>
      <c r="G91" s="1">
        <f t="shared" si="8"/>
        <v>65.30221997677167</v>
      </c>
      <c r="H91" s="48">
        <f t="shared" si="11"/>
        <v>6037.099999999995</v>
      </c>
      <c r="I91" s="48">
        <f t="shared" si="9"/>
        <v>17238.099999999995</v>
      </c>
    </row>
    <row r="92" spans="1:9" ht="18">
      <c r="A92" s="26" t="s">
        <v>32</v>
      </c>
      <c r="B92" s="46">
        <v>1359.7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9.8+96.8+35.3+50.2+1.4+30+1.1+18.1+138.1+43.8+4.2+9.3+27.5+5.8+0.2+2.4+1+11.7+14.7+34.3+26.9+2.8+30.4+0.1+10.2+1.4+0.2+22+131.7+1.9+1.6+30.8+150.2+0.9+0.6+2.2+0.6+31.6+20.6+1+0.3+3+17.7+35.6+0.9+0.3+39.3+12.6+23.9+20.8</f>
        <v>1157.7999999999997</v>
      </c>
      <c r="E92" s="1">
        <f>D92/D90*100</f>
        <v>3.0475638967123797</v>
      </c>
      <c r="F92" s="1">
        <f t="shared" si="10"/>
        <v>85.15113628006176</v>
      </c>
      <c r="G92" s="1">
        <f t="shared" si="8"/>
        <v>54.57716602243799</v>
      </c>
      <c r="H92" s="48">
        <f t="shared" si="11"/>
        <v>201.90000000000032</v>
      </c>
      <c r="I92" s="48">
        <f t="shared" si="9"/>
        <v>963.6000000000004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6123.900000000006</v>
      </c>
      <c r="C94" s="47">
        <f>C90-C91-C92-C93</f>
        <v>7494.400000000011</v>
      </c>
      <c r="D94" s="47">
        <f>D90-D91-D92-D93</f>
        <v>4390.599999999984</v>
      </c>
      <c r="E94" s="1">
        <f>D94/D90*100</f>
        <v>11.556947698138995</v>
      </c>
      <c r="F94" s="1">
        <f t="shared" si="10"/>
        <v>71.69614134783356</v>
      </c>
      <c r="G94" s="1">
        <f>D94/C94*100</f>
        <v>58.585076857386554</v>
      </c>
      <c r="H94" s="48">
        <f t="shared" si="11"/>
        <v>1733.300000000022</v>
      </c>
      <c r="I94" s="48">
        <f>C94-D94</f>
        <v>3103.8000000000266</v>
      </c>
    </row>
    <row r="95" spans="1:9" ht="18.75">
      <c r="A95" s="116" t="s">
        <v>12</v>
      </c>
      <c r="B95" s="119">
        <v>63921.7</v>
      </c>
      <c r="C95" s="121">
        <f>63500.4+11490.6+4535.2-1.1-1111.2</f>
        <v>78413.9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</f>
        <v>57651.4</v>
      </c>
      <c r="E95" s="115">
        <f>D95/D150*100</f>
        <v>5.911289540337393</v>
      </c>
      <c r="F95" s="118">
        <f t="shared" si="10"/>
        <v>90.19065512963516</v>
      </c>
      <c r="G95" s="114">
        <f>D95/C95*100</f>
        <v>73.52191384435667</v>
      </c>
      <c r="H95" s="120">
        <f t="shared" si="11"/>
        <v>6270.299999999996</v>
      </c>
      <c r="I95" s="130">
        <f>C95-D95</f>
        <v>20762.499999999993</v>
      </c>
    </row>
    <row r="96" spans="1:9" ht="18.75" thickBot="1">
      <c r="A96" s="117" t="s">
        <v>99</v>
      </c>
      <c r="B96" s="122">
        <v>5140.1</v>
      </c>
      <c r="C96" s="123">
        <f>5343.5+287.2+2416.8+30</f>
        <v>8077.5</v>
      </c>
      <c r="D96" s="124">
        <f>57.3+368.5+61.1+0.1+320+59+0.8+309+245.5+61.2+0.4-0.1+489+12.5+64.8+24.2+437.3+329.2+2.4+382.5+3.4+31.2+13.3+8.3+121.6+67.7+362.1+4.1+31.3+64.2+20.6+78.1+394.5</f>
        <v>4425.1</v>
      </c>
      <c r="E96" s="125">
        <f>D96/D95*100</f>
        <v>7.675615856683446</v>
      </c>
      <c r="F96" s="126">
        <f t="shared" si="10"/>
        <v>86.08976479056828</v>
      </c>
      <c r="G96" s="127">
        <f>D96/C96*100</f>
        <v>54.7830393067162</v>
      </c>
      <c r="H96" s="131">
        <f t="shared" si="11"/>
        <v>715</v>
      </c>
      <c r="I96" s="132">
        <f>C96-D96</f>
        <v>3652.3999999999996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v>7671.2</v>
      </c>
      <c r="C102" s="100">
        <f>10703.3-154-3.5-134.3+83.4</f>
        <v>10494.9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</f>
        <v>5511.500000000001</v>
      </c>
      <c r="E102" s="22">
        <f>D102/D150*100</f>
        <v>0.5651219623733256</v>
      </c>
      <c r="F102" s="22">
        <f>D102/B102*100</f>
        <v>71.84664719991657</v>
      </c>
      <c r="G102" s="22">
        <f aca="true" t="shared" si="12" ref="G102:G148">D102/C102*100</f>
        <v>52.51598395411106</v>
      </c>
      <c r="H102" s="87">
        <f aca="true" t="shared" si="13" ref="H102:H107">B102-D102</f>
        <v>2159.699999999999</v>
      </c>
      <c r="I102" s="87">
        <f aca="true" t="shared" si="14" ref="I102:I148">C102-D102</f>
        <v>4983.399999999999</v>
      </c>
    </row>
    <row r="103" spans="1:9" ht="18">
      <c r="A103" s="26" t="s">
        <v>3</v>
      </c>
      <c r="B103" s="97">
        <f>91.9+1.4</f>
        <v>93.30000000000001</v>
      </c>
      <c r="C103" s="95">
        <v>187.6</v>
      </c>
      <c r="D103" s="95">
        <f>15.1+18.9-0.1+18.6+22.1</f>
        <v>74.6</v>
      </c>
      <c r="E103" s="91">
        <f>D103/D102*100</f>
        <v>1.353533520820103</v>
      </c>
      <c r="F103" s="1">
        <f>D103/B103*100</f>
        <v>79.95712754555197</v>
      </c>
      <c r="G103" s="91">
        <f>D103/C103*100</f>
        <v>39.76545842217484</v>
      </c>
      <c r="H103" s="95">
        <f t="shared" si="13"/>
        <v>18.700000000000017</v>
      </c>
      <c r="I103" s="95">
        <f t="shared" si="14"/>
        <v>113</v>
      </c>
    </row>
    <row r="104" spans="1:9" ht="18">
      <c r="A104" s="93" t="s">
        <v>60</v>
      </c>
      <c r="B104" s="78">
        <f>6193.5-1.4</f>
        <v>6192.1</v>
      </c>
      <c r="C104" s="48">
        <f>8863.3-154-3.5-134.3+25.3</f>
        <v>8596.8</v>
      </c>
      <c r="D104" s="48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</f>
        <v>4691.8</v>
      </c>
      <c r="E104" s="1">
        <f>D104/D102*100</f>
        <v>85.12746076385737</v>
      </c>
      <c r="F104" s="1">
        <f aca="true" t="shared" si="15" ref="F104:F148">D104/B104*100</f>
        <v>75.7707401366257</v>
      </c>
      <c r="G104" s="1">
        <f t="shared" si="12"/>
        <v>54.576121347478136</v>
      </c>
      <c r="H104" s="48">
        <f t="shared" si="13"/>
        <v>1500.3000000000002</v>
      </c>
      <c r="I104" s="48">
        <f t="shared" si="14"/>
        <v>3904.999999999999</v>
      </c>
    </row>
    <row r="105" spans="1:9" ht="54.75" hidden="1" thickBot="1">
      <c r="A105" s="94" t="s">
        <v>95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1385.7999999999993</v>
      </c>
      <c r="C106" s="96">
        <f>C102-C103-C104</f>
        <v>1710.5</v>
      </c>
      <c r="D106" s="96">
        <f>D102-D103-D104</f>
        <v>745.1000000000004</v>
      </c>
      <c r="E106" s="92">
        <f>D106/D102*100</f>
        <v>13.519005715322512</v>
      </c>
      <c r="F106" s="92">
        <f t="shared" si="15"/>
        <v>53.7667773127436</v>
      </c>
      <c r="G106" s="92">
        <f t="shared" si="12"/>
        <v>43.5603624671149</v>
      </c>
      <c r="H106" s="132">
        <f>B106-D106</f>
        <v>640.6999999999989</v>
      </c>
      <c r="I106" s="132">
        <f t="shared" si="14"/>
        <v>965.3999999999996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444289.49999999994</v>
      </c>
      <c r="C107" s="89">
        <f>SUM(C108:C147)-C115-C119+C148-C139-C140-C109-C112-C122-C123-C137-C131-C129</f>
        <v>564060.3999999999</v>
      </c>
      <c r="D107" s="89">
        <f>SUM(D108:D147)-D115-D119+D148-D139-D140-D109-D112-D122-D123-D137-D131-D129</f>
        <v>393922.2000000001</v>
      </c>
      <c r="E107" s="90">
        <f>D107/D150*100</f>
        <v>40.39083492450652</v>
      </c>
      <c r="F107" s="90">
        <f>D107/B107*100</f>
        <v>88.66340527966567</v>
      </c>
      <c r="G107" s="90">
        <f t="shared" si="12"/>
        <v>69.83688271681547</v>
      </c>
      <c r="H107" s="89">
        <f t="shared" si="13"/>
        <v>50367.299999999814</v>
      </c>
      <c r="I107" s="89">
        <f t="shared" si="14"/>
        <v>170138.19999999978</v>
      </c>
    </row>
    <row r="108" spans="1:9" ht="37.5">
      <c r="A108" s="31" t="s">
        <v>64</v>
      </c>
      <c r="B108" s="75">
        <v>1488.3</v>
      </c>
      <c r="C108" s="71">
        <v>2166.2</v>
      </c>
      <c r="D108" s="76">
        <f>142.7+0.9+78.6+37.4+44.2+140.1+1+20.9+25.7+0.2+2+0.6+0.4+1.8+1.5-0.1+62.6+2.1+1.9+2.9+1+9.8+0.1+52+4.8+2+1.2+2+5.2+2.6-0.1+56.3+43+2.2+0.3+6.3+0.1+46.4+1.3+6.5+1.2+1-0.1+67.4</f>
        <v>879.8999999999997</v>
      </c>
      <c r="E108" s="6">
        <f>D108/D107*100</f>
        <v>0.2233689799660947</v>
      </c>
      <c r="F108" s="6">
        <f t="shared" si="15"/>
        <v>59.12114493045756</v>
      </c>
      <c r="G108" s="6">
        <f t="shared" si="12"/>
        <v>40.61951805004154</v>
      </c>
      <c r="H108" s="65">
        <f aca="true" t="shared" si="16" ref="H108:H148">B108-D108</f>
        <v>608.4000000000002</v>
      </c>
      <c r="I108" s="65">
        <f t="shared" si="14"/>
        <v>1286.3000000000002</v>
      </c>
    </row>
    <row r="109" spans="1:9" ht="18">
      <c r="A109" s="26" t="s">
        <v>32</v>
      </c>
      <c r="B109" s="78">
        <v>770.9</v>
      </c>
      <c r="C109" s="48">
        <v>1213.5</v>
      </c>
      <c r="D109" s="79">
        <f>142.7+0.9+78.6+37.4+20.9+42.5+24.8+0.6+32.7+0.1+16.7+37.6</f>
        <v>435.5</v>
      </c>
      <c r="E109" s="1">
        <f>D109/D108*100</f>
        <v>49.4942607114445</v>
      </c>
      <c r="F109" s="1">
        <f t="shared" si="15"/>
        <v>56.492411467116355</v>
      </c>
      <c r="G109" s="1">
        <f t="shared" si="12"/>
        <v>35.88792748248867</v>
      </c>
      <c r="H109" s="48">
        <f t="shared" si="16"/>
        <v>335.4</v>
      </c>
      <c r="I109" s="48">
        <f t="shared" si="14"/>
        <v>778</v>
      </c>
    </row>
    <row r="110" spans="1:9" ht="34.5" customHeight="1">
      <c r="A110" s="16" t="s">
        <v>94</v>
      </c>
      <c r="B110" s="77">
        <v>526.9</v>
      </c>
      <c r="C110" s="65">
        <v>778.3</v>
      </c>
      <c r="D110" s="76">
        <f>26.5+20.2+7.7+37.4+7.5+38.9-0.1+38.9+12.6+45.5+9.7+1.6+37.6-0.1+56.2+1.4</f>
        <v>341.49999999999994</v>
      </c>
      <c r="E110" s="6">
        <f>D110/D107*100</f>
        <v>0.08669224532153808</v>
      </c>
      <c r="F110" s="6">
        <f>D110/B110*100</f>
        <v>64.81305750616815</v>
      </c>
      <c r="G110" s="6">
        <f t="shared" si="12"/>
        <v>43.877682127714245</v>
      </c>
      <c r="H110" s="65">
        <f t="shared" si="16"/>
        <v>185.40000000000003</v>
      </c>
      <c r="I110" s="65">
        <f t="shared" si="14"/>
        <v>436.8</v>
      </c>
    </row>
    <row r="111" spans="1:9" s="41" customFormat="1" ht="34.5" customHeight="1">
      <c r="A111" s="16" t="s">
        <v>70</v>
      </c>
      <c r="B111" s="77">
        <v>719.1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719.1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114</v>
      </c>
      <c r="B113" s="77">
        <v>50</v>
      </c>
      <c r="C113" s="65">
        <v>50</v>
      </c>
      <c r="D113" s="76">
        <f>5.8+4.7+0.7+0.7+1</f>
        <v>12.899999999999999</v>
      </c>
      <c r="E113" s="6">
        <f>D113/D107*100</f>
        <v>0.0032747583152206183</v>
      </c>
      <c r="F113" s="6">
        <f t="shared" si="15"/>
        <v>25.799999999999994</v>
      </c>
      <c r="G113" s="6">
        <f t="shared" si="12"/>
        <v>25.799999999999994</v>
      </c>
      <c r="H113" s="65">
        <f t="shared" si="16"/>
        <v>37.1</v>
      </c>
      <c r="I113" s="65">
        <f t="shared" si="14"/>
        <v>37.1</v>
      </c>
    </row>
    <row r="114" spans="1:9" ht="37.5">
      <c r="A114" s="16" t="s">
        <v>46</v>
      </c>
      <c r="B114" s="77">
        <v>1271.9</v>
      </c>
      <c r="C114" s="65">
        <v>1795.8</v>
      </c>
      <c r="D114" s="76">
        <f>82.2+4.4+0.2+16.8+100.8+0.1+8.3+21.3+93.2+14.5+11.8+88.2+4.6+1.1+5.8+6+2.3+112.3+12.6+0.8+1.5+0.2+0.2+72.9+5.6+10.9+0.3+11.7+5.8+0.6+108.3+0.1+3+1.3+29.1+101.7+7.2</f>
        <v>947.7000000000002</v>
      </c>
      <c r="E114" s="6">
        <f>D114/D107*100</f>
        <v>0.2405805004135334</v>
      </c>
      <c r="F114" s="6">
        <f t="shared" si="15"/>
        <v>74.51057473071782</v>
      </c>
      <c r="G114" s="6">
        <f t="shared" si="12"/>
        <v>52.77313732041431</v>
      </c>
      <c r="H114" s="65">
        <f t="shared" si="16"/>
        <v>324.19999999999993</v>
      </c>
      <c r="I114" s="65">
        <f t="shared" si="14"/>
        <v>848.0999999999998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115</v>
      </c>
      <c r="B116" s="77">
        <v>183.5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183.5</v>
      </c>
      <c r="I116" s="57">
        <f t="shared" si="14"/>
        <v>264.5</v>
      </c>
    </row>
    <row r="117" spans="1:9" ht="37.5">
      <c r="A117" s="16" t="s">
        <v>57</v>
      </c>
      <c r="B117" s="77">
        <v>110</v>
      </c>
      <c r="C117" s="65">
        <v>110</v>
      </c>
      <c r="D117" s="76">
        <f>15</f>
        <v>15</v>
      </c>
      <c r="E117" s="6">
        <f>D117/D107*100</f>
        <v>0.003807858506070487</v>
      </c>
      <c r="F117" s="6">
        <f>D117/B117*100</f>
        <v>13.636363636363635</v>
      </c>
      <c r="G117" s="6">
        <f t="shared" si="12"/>
        <v>13.636363636363635</v>
      </c>
      <c r="H117" s="65">
        <f t="shared" si="16"/>
        <v>95</v>
      </c>
      <c r="I117" s="65">
        <f t="shared" si="14"/>
        <v>95</v>
      </c>
    </row>
    <row r="118" spans="1:9" s="2" customFormat="1" ht="18.75">
      <c r="A118" s="16" t="s">
        <v>16</v>
      </c>
      <c r="B118" s="77">
        <v>164.7</v>
      </c>
      <c r="C118" s="57">
        <f>229.6+4.4</f>
        <v>234</v>
      </c>
      <c r="D118" s="76">
        <f>17.1-0.3+0.8+0.3+21.4+4.2+0.3+17.6+4.2+0.8+0.3+16.8+0.3+2+2.2+17.7+1.1+4.1+17.7+0.8+4.3+0.3+1.6+0.3+4</f>
        <v>139.9</v>
      </c>
      <c r="E118" s="6">
        <f>D118/D107*100</f>
        <v>0.03551462699995074</v>
      </c>
      <c r="F118" s="6">
        <f t="shared" si="15"/>
        <v>84.9423193685489</v>
      </c>
      <c r="G118" s="6">
        <f t="shared" si="12"/>
        <v>59.78632478632478</v>
      </c>
      <c r="H118" s="65">
        <f t="shared" si="16"/>
        <v>24.799999999999983</v>
      </c>
      <c r="I118" s="65">
        <f t="shared" si="14"/>
        <v>94.1</v>
      </c>
    </row>
    <row r="119" spans="1:9" s="36" customFormat="1" ht="18">
      <c r="A119" s="37" t="s">
        <v>53</v>
      </c>
      <c r="B119" s="78">
        <v>120.3</v>
      </c>
      <c r="C119" s="48">
        <f>170.2+4.4</f>
        <v>174.6</v>
      </c>
      <c r="D119" s="79">
        <f>17.1-0.3+16.8+16.8+16.8+17.7+17.7</f>
        <v>102.60000000000001</v>
      </c>
      <c r="E119" s="1">
        <f>D119/D118*100</f>
        <v>73.33809864188706</v>
      </c>
      <c r="F119" s="1">
        <f t="shared" si="15"/>
        <v>85.28678304239402</v>
      </c>
      <c r="G119" s="1">
        <f t="shared" si="12"/>
        <v>58.76288659793815</v>
      </c>
      <c r="H119" s="48">
        <f t="shared" si="16"/>
        <v>17.69999999999999</v>
      </c>
      <c r="I119" s="48">
        <f t="shared" si="14"/>
        <v>71.99999999999999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v>568.7</v>
      </c>
      <c r="C121" s="57">
        <f>204.9+375.8-12</f>
        <v>568.7</v>
      </c>
      <c r="D121" s="80">
        <f>136.8+10+57.4-0.1+22.6+0.1</f>
        <v>226.8</v>
      </c>
      <c r="E121" s="17">
        <f>D121/D107*100</f>
        <v>0.05757482061178577</v>
      </c>
      <c r="F121" s="6">
        <f t="shared" si="15"/>
        <v>39.880429048707576</v>
      </c>
      <c r="G121" s="6">
        <f t="shared" si="12"/>
        <v>39.880429048707576</v>
      </c>
      <c r="H121" s="65">
        <f t="shared" si="16"/>
        <v>341.90000000000003</v>
      </c>
      <c r="I121" s="65">
        <f t="shared" si="14"/>
        <v>341.90000000000003</v>
      </c>
    </row>
    <row r="122" spans="1:9" s="110" customFormat="1" ht="18">
      <c r="A122" s="26" t="s">
        <v>96</v>
      </c>
      <c r="B122" s="78">
        <v>80</v>
      </c>
      <c r="C122" s="48">
        <v>80</v>
      </c>
      <c r="D122" s="79">
        <f>57.4+22.6</f>
        <v>80</v>
      </c>
      <c r="E122" s="6"/>
      <c r="F122" s="1">
        <f>D122/B122*100</f>
        <v>100</v>
      </c>
      <c r="G122" s="1">
        <f t="shared" si="12"/>
        <v>100</v>
      </c>
      <c r="H122" s="48">
        <f t="shared" si="16"/>
        <v>0</v>
      </c>
      <c r="I122" s="48">
        <f t="shared" si="14"/>
        <v>0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v>20184.8</v>
      </c>
      <c r="C124" s="57">
        <f>5096.9+1707.5+6000+16669.6</f>
        <v>29474</v>
      </c>
      <c r="D124" s="80">
        <f>3776+7.6+1124+100+14.3+14.5+0.1+20.4+3015.8+9+1156.5+27+0.1+1146.6+5.2+681+29.9+16.3+480.3+117.6+5542.8+148.8+1446</f>
        <v>18879.8</v>
      </c>
      <c r="E124" s="17">
        <f>D124/D107*100</f>
        <v>4.792773801527305</v>
      </c>
      <c r="F124" s="6">
        <f t="shared" si="15"/>
        <v>93.53473901153343</v>
      </c>
      <c r="G124" s="6">
        <f t="shared" si="12"/>
        <v>64.05577797380742</v>
      </c>
      <c r="H124" s="65">
        <f t="shared" si="16"/>
        <v>1305</v>
      </c>
      <c r="I124" s="65">
        <f t="shared" si="14"/>
        <v>10594.2</v>
      </c>
    </row>
    <row r="125" spans="1:9" s="2" customFormat="1" ht="18.75">
      <c r="A125" s="16" t="s">
        <v>117</v>
      </c>
      <c r="B125" s="77">
        <v>825</v>
      </c>
      <c r="C125" s="57">
        <f>1239-364</f>
        <v>875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825</v>
      </c>
      <c r="I125" s="65">
        <f t="shared" si="14"/>
        <v>875</v>
      </c>
    </row>
    <row r="126" spans="1:9" s="2" customFormat="1" ht="37.5">
      <c r="A126" s="16" t="s">
        <v>116</v>
      </c>
      <c r="B126" s="77">
        <v>20</v>
      </c>
      <c r="C126" s="57">
        <v>20</v>
      </c>
      <c r="D126" s="80"/>
      <c r="E126" s="17">
        <f>D126/D107*100</f>
        <v>0</v>
      </c>
      <c r="F126" s="133">
        <f t="shared" si="15"/>
        <v>0</v>
      </c>
      <c r="G126" s="6">
        <f t="shared" si="12"/>
        <v>0</v>
      </c>
      <c r="H126" s="65">
        <f t="shared" si="16"/>
        <v>20</v>
      </c>
      <c r="I126" s="65">
        <f t="shared" si="14"/>
        <v>20</v>
      </c>
    </row>
    <row r="127" spans="1:9" s="2" customFormat="1" ht="37.5">
      <c r="A127" s="16" t="s">
        <v>101</v>
      </c>
      <c r="B127" s="77">
        <v>22.9</v>
      </c>
      <c r="C127" s="57">
        <v>95.1</v>
      </c>
      <c r="D127" s="80">
        <f>4.5+17.5+0.7</f>
        <v>22.7</v>
      </c>
      <c r="E127" s="17">
        <f>D127/D107*100</f>
        <v>0.0057625592058533365</v>
      </c>
      <c r="F127" s="6">
        <f t="shared" si="15"/>
        <v>99.12663755458514</v>
      </c>
      <c r="G127" s="6">
        <f t="shared" si="12"/>
        <v>23.869610935856993</v>
      </c>
      <c r="H127" s="65">
        <f t="shared" si="16"/>
        <v>0.1999999999999993</v>
      </c>
      <c r="I127" s="65">
        <f t="shared" si="14"/>
        <v>72.39999999999999</v>
      </c>
    </row>
    <row r="128" spans="1:9" s="2" customFormat="1" ht="37.5">
      <c r="A128" s="16" t="s">
        <v>73</v>
      </c>
      <c r="B128" s="77">
        <v>719.3</v>
      </c>
      <c r="C128" s="57">
        <v>983</v>
      </c>
      <c r="D128" s="80">
        <f>2.8+14.4+2.8+8.8+3.7+4+2.8+5.8+9.6+4.2+2.7+0.2+2.9+76+0.5+2.6+4.7+5.9+2.9+2.9</f>
        <v>160.2</v>
      </c>
      <c r="E128" s="17">
        <f>D128/D107*100</f>
        <v>0.04066792884483279</v>
      </c>
      <c r="F128" s="6">
        <f t="shared" si="15"/>
        <v>22.271652995968303</v>
      </c>
      <c r="G128" s="6">
        <f t="shared" si="12"/>
        <v>16.297049847405898</v>
      </c>
      <c r="H128" s="65">
        <f t="shared" si="16"/>
        <v>559.0999999999999</v>
      </c>
      <c r="I128" s="65">
        <f t="shared" si="14"/>
        <v>822.8</v>
      </c>
    </row>
    <row r="129" spans="1:9" s="36" customFormat="1" ht="18">
      <c r="A129" s="26" t="s">
        <v>110</v>
      </c>
      <c r="B129" s="78">
        <v>620.4</v>
      </c>
      <c r="C129" s="48">
        <v>851.8</v>
      </c>
      <c r="D129" s="79">
        <f>2.8+2.8-0.1+2.8+2.7+2.9+70.7+4.7+2.9+2.9</f>
        <v>95.10000000000002</v>
      </c>
      <c r="E129" s="1">
        <f>D129/D128*100</f>
        <v>59.363295880149835</v>
      </c>
      <c r="F129" s="1">
        <f>D129/B129*100</f>
        <v>15.328820116054162</v>
      </c>
      <c r="G129" s="1">
        <f t="shared" si="12"/>
        <v>11.164592627377322</v>
      </c>
      <c r="H129" s="48">
        <f t="shared" si="16"/>
        <v>525.3</v>
      </c>
      <c r="I129" s="48">
        <f t="shared" si="14"/>
        <v>756.6999999999999</v>
      </c>
    </row>
    <row r="130" spans="1:9" s="2" customFormat="1" ht="37.5">
      <c r="A130" s="16" t="s">
        <v>118</v>
      </c>
      <c r="B130" s="77">
        <v>100</v>
      </c>
      <c r="C130" s="57">
        <v>400</v>
      </c>
      <c r="D130" s="80"/>
      <c r="E130" s="17">
        <f>D130/D107*100</f>
        <v>0</v>
      </c>
      <c r="F130" s="133">
        <f t="shared" si="15"/>
        <v>0</v>
      </c>
      <c r="G130" s="6">
        <f t="shared" si="12"/>
        <v>0</v>
      </c>
      <c r="H130" s="65">
        <f t="shared" si="16"/>
        <v>100</v>
      </c>
      <c r="I130" s="65">
        <f t="shared" si="14"/>
        <v>400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45.4</v>
      </c>
      <c r="C132" s="57">
        <v>64.1</v>
      </c>
      <c r="D132" s="80">
        <f>0.8+2.3+1.8+1+14.8</f>
        <v>20.7</v>
      </c>
      <c r="E132" s="17">
        <f>D132/D107*100</f>
        <v>0.0052548447383772715</v>
      </c>
      <c r="F132" s="6">
        <f t="shared" si="15"/>
        <v>45.59471365638766</v>
      </c>
      <c r="G132" s="6">
        <f t="shared" si="12"/>
        <v>32.293291731669264</v>
      </c>
      <c r="H132" s="65">
        <f t="shared" si="16"/>
        <v>24.7</v>
      </c>
      <c r="I132" s="65">
        <f t="shared" si="14"/>
        <v>43.39999999999999</v>
      </c>
    </row>
    <row r="133" spans="1:9" s="2" customFormat="1" ht="35.25" customHeight="1" hidden="1">
      <c r="A133" s="16" t="s">
        <v>69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108</v>
      </c>
      <c r="B134" s="77">
        <v>436.2</v>
      </c>
      <c r="C134" s="57">
        <v>600</v>
      </c>
      <c r="D134" s="80">
        <f>0.8+5+0.9+2.6-0.1+0.6+0.1</f>
        <v>9.9</v>
      </c>
      <c r="E134" s="17">
        <f>D134/D107*100</f>
        <v>0.0025131866140065216</v>
      </c>
      <c r="F134" s="6">
        <f t="shared" si="15"/>
        <v>2.269601100412655</v>
      </c>
      <c r="G134" s="6">
        <f t="shared" si="12"/>
        <v>1.6500000000000001</v>
      </c>
      <c r="H134" s="65">
        <f t="shared" si="16"/>
        <v>426.3</v>
      </c>
      <c r="I134" s="65">
        <f t="shared" si="14"/>
        <v>590.1</v>
      </c>
    </row>
    <row r="135" spans="1:9" s="2" customFormat="1" ht="35.25" customHeight="1" hidden="1">
      <c r="A135" s="16" t="s">
        <v>109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100</v>
      </c>
      <c r="B136" s="77">
        <v>247.5</v>
      </c>
      <c r="C136" s="57">
        <v>363.7</v>
      </c>
      <c r="D136" s="80">
        <f>5.2+0.3+2.7+0.1+0.5+0.2+13.8+39.2+5+5.9+2+6.5+0.1+32.4+5+3.9+0.2+0.7+8.4+0.1+0.1+3+4.4+0.1+5.5+21.4+0.1+4.5</f>
        <v>171.3</v>
      </c>
      <c r="E136" s="17">
        <f>D136/D107*100</f>
        <v>0.04348574413932496</v>
      </c>
      <c r="F136" s="6">
        <f t="shared" si="15"/>
        <v>69.21212121212122</v>
      </c>
      <c r="G136" s="6">
        <f>D136/C136*100</f>
        <v>47.09925762991477</v>
      </c>
      <c r="H136" s="65">
        <f t="shared" si="16"/>
        <v>76.19999999999999</v>
      </c>
      <c r="I136" s="65">
        <f t="shared" si="14"/>
        <v>192.39999999999998</v>
      </c>
    </row>
    <row r="137" spans="1:9" s="36" customFormat="1" ht="18">
      <c r="A137" s="26" t="s">
        <v>32</v>
      </c>
      <c r="B137" s="78">
        <v>138.9</v>
      </c>
      <c r="C137" s="48">
        <v>218.8</v>
      </c>
      <c r="D137" s="79">
        <f>0.3+39.3+0.2+2+32.4+0.2-0.1+5.4+0.1+5.5+21.4+0.1+0.1</f>
        <v>106.89999999999998</v>
      </c>
      <c r="E137" s="111">
        <f>D137/D136*100</f>
        <v>62.40513718622298</v>
      </c>
      <c r="F137" s="1">
        <f t="shared" si="15"/>
        <v>76.96184305255578</v>
      </c>
      <c r="G137" s="1">
        <f>D137/C137*100</f>
        <v>48.857404021937825</v>
      </c>
      <c r="H137" s="48">
        <f t="shared" si="16"/>
        <v>32.00000000000003</v>
      </c>
      <c r="I137" s="48">
        <f t="shared" si="14"/>
        <v>111.90000000000003</v>
      </c>
    </row>
    <row r="138" spans="1:9" s="2" customFormat="1" ht="18.75">
      <c r="A138" s="16" t="s">
        <v>31</v>
      </c>
      <c r="B138" s="77">
        <v>964.5</v>
      </c>
      <c r="C138" s="57">
        <f>1160.2+12+85</f>
        <v>1257.2</v>
      </c>
      <c r="D138" s="80">
        <f>26.5+42.3+30.1+3.6+8.6+42.3+0.1+5.7+31.9+5.2+42.5+11.7+55+45.4+28.3+17.8+9.6+33.4+0.9+26.8+46.9+38.1-0.1+30.6+29.1+43.2+28.9+29.5+0.1+43.5</f>
        <v>757.5</v>
      </c>
      <c r="E138" s="17">
        <f>D138/D107*100</f>
        <v>0.1922968545565596</v>
      </c>
      <c r="F138" s="6">
        <f t="shared" si="15"/>
        <v>78.53810264385692</v>
      </c>
      <c r="G138" s="6">
        <f t="shared" si="12"/>
        <v>60.25294304804327</v>
      </c>
      <c r="H138" s="65">
        <f t="shared" si="16"/>
        <v>207</v>
      </c>
      <c r="I138" s="65">
        <f t="shared" si="14"/>
        <v>499.70000000000005</v>
      </c>
    </row>
    <row r="139" spans="1:9" s="36" customFormat="1" ht="18">
      <c r="A139" s="37" t="s">
        <v>53</v>
      </c>
      <c r="B139" s="78">
        <v>662.6</v>
      </c>
      <c r="C139" s="48">
        <v>886.2</v>
      </c>
      <c r="D139" s="79">
        <f>26.5+39.8+30.1+42.1+0.1+31.9+40.5+11.2+38.1+30.1+28.3+17.4+33.4+8.9+24.2+37.9+28.8+43.2+29.4+43.5-0.1</f>
        <v>585.3</v>
      </c>
      <c r="E139" s="1">
        <f>D139/D138*100</f>
        <v>77.26732673267325</v>
      </c>
      <c r="F139" s="1">
        <f aca="true" t="shared" si="17" ref="F139:F147">D139/B139*100</f>
        <v>88.33383640205251</v>
      </c>
      <c r="G139" s="1">
        <f t="shared" si="12"/>
        <v>66.04603926878806</v>
      </c>
      <c r="H139" s="48">
        <f t="shared" si="16"/>
        <v>77.30000000000007</v>
      </c>
      <c r="I139" s="48">
        <f t="shared" si="14"/>
        <v>300.9000000000001</v>
      </c>
    </row>
    <row r="140" spans="1:9" s="36" customFormat="1" ht="18">
      <c r="A140" s="26" t="s">
        <v>32</v>
      </c>
      <c r="B140" s="78">
        <v>23.5</v>
      </c>
      <c r="C140" s="48">
        <v>39.3</v>
      </c>
      <c r="D140" s="79">
        <f>8.6+0.2+0.3+5.1+0.4+5.3+0.3+0.3+0.2+0.3</f>
        <v>21</v>
      </c>
      <c r="E140" s="1">
        <f>D140/D138*100</f>
        <v>2.7722772277227725</v>
      </c>
      <c r="F140" s="1">
        <f t="shared" si="17"/>
        <v>89.36170212765957</v>
      </c>
      <c r="G140" s="1">
        <f>D140/C140*100</f>
        <v>53.43511450381679</v>
      </c>
      <c r="H140" s="48">
        <f t="shared" si="16"/>
        <v>2.5</v>
      </c>
      <c r="I140" s="48">
        <f t="shared" si="14"/>
        <v>18.299999999999997</v>
      </c>
    </row>
    <row r="141" spans="1:9" s="2" customFormat="1" ht="56.25">
      <c r="A141" s="20" t="s">
        <v>105</v>
      </c>
      <c r="B141" s="77">
        <v>345</v>
      </c>
      <c r="C141" s="57">
        <v>345</v>
      </c>
      <c r="D141" s="80">
        <f>345</f>
        <v>345</v>
      </c>
      <c r="E141" s="17">
        <f>D141/D107*100</f>
        <v>0.0875807456396212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107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102</v>
      </c>
      <c r="B143" s="77">
        <v>31185</v>
      </c>
      <c r="C143" s="57">
        <f>16744+15000+2000-2607.4+8610.1</f>
        <v>39746.7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</f>
        <v>26934.5</v>
      </c>
      <c r="E143" s="17">
        <f>D143/D107*100</f>
        <v>6.837517662117035</v>
      </c>
      <c r="F143" s="107">
        <f t="shared" si="17"/>
        <v>86.37004970338303</v>
      </c>
      <c r="G143" s="6">
        <f t="shared" si="12"/>
        <v>67.76537423232621</v>
      </c>
      <c r="H143" s="65">
        <f t="shared" si="16"/>
        <v>4250.5</v>
      </c>
      <c r="I143" s="65">
        <f t="shared" si="14"/>
        <v>12812.199999999997</v>
      </c>
    </row>
    <row r="144" spans="1:9" s="2" customFormat="1" ht="18.75" hidden="1">
      <c r="A144" s="20" t="s">
        <v>103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106</v>
      </c>
      <c r="B145" s="77">
        <v>2247.6</v>
      </c>
      <c r="C145" s="57">
        <f>6504.8-4188</f>
        <v>2316.8</v>
      </c>
      <c r="D145" s="80">
        <f>2094+16</f>
        <v>2110</v>
      </c>
      <c r="E145" s="17">
        <f>D145/D107*100</f>
        <v>0.5356387631872485</v>
      </c>
      <c r="F145" s="107">
        <f t="shared" si="17"/>
        <v>93.87791421961204</v>
      </c>
      <c r="G145" s="6">
        <f t="shared" si="12"/>
        <v>91.0738950276243</v>
      </c>
      <c r="H145" s="65">
        <f t="shared" si="16"/>
        <v>137.5999999999999</v>
      </c>
      <c r="I145" s="65">
        <f t="shared" si="14"/>
        <v>206.80000000000018</v>
      </c>
    </row>
    <row r="146" spans="1:12" s="2" customFormat="1" ht="18.75" customHeight="1">
      <c r="A146" s="16" t="s">
        <v>93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0.15299975477391217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v>359509.3</v>
      </c>
      <c r="C147" s="57">
        <f>298394.8+81857.1-188.4+8192+4136.9-39.9+58207.6+613.8</f>
        <v>451173.89999999997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</f>
        <v>322009.80000000005</v>
      </c>
      <c r="E147" s="17">
        <f>D147/D107*100</f>
        <v>81.74451706453709</v>
      </c>
      <c r="F147" s="6">
        <f t="shared" si="17"/>
        <v>89.56925453666986</v>
      </c>
      <c r="G147" s="6">
        <f t="shared" si="12"/>
        <v>71.37154875315262</v>
      </c>
      <c r="H147" s="65">
        <f t="shared" si="16"/>
        <v>37499.49999999994</v>
      </c>
      <c r="I147" s="65">
        <f t="shared" si="14"/>
        <v>129164.09999999992</v>
      </c>
      <c r="K147" s="99"/>
      <c r="L147" s="42"/>
    </row>
    <row r="148" spans="1:12" s="2" customFormat="1" ht="18.75">
      <c r="A148" s="16" t="s">
        <v>104</v>
      </c>
      <c r="B148" s="77">
        <v>21751.2</v>
      </c>
      <c r="C148" s="57">
        <v>29001.6</v>
      </c>
      <c r="D148" s="80">
        <f>805.6+805.6+805.6+805.6+805.6+805.6+805.6+805.6+805.6+805.6+805.6+805.6+805.6+805.6+805.6+805.6+805.6+805.6+805.6+805.6+805.6+805.6+805.6+805.6</f>
        <v>19334.4</v>
      </c>
      <c r="E148" s="17">
        <f>D148/D107*100</f>
        <v>4.908177299984615</v>
      </c>
      <c r="F148" s="6">
        <f t="shared" si="15"/>
        <v>88.8888888888889</v>
      </c>
      <c r="G148" s="6">
        <f t="shared" si="12"/>
        <v>66.66666666666667</v>
      </c>
      <c r="H148" s="65">
        <f t="shared" si="16"/>
        <v>2416.7999999999993</v>
      </c>
      <c r="I148" s="65">
        <f t="shared" si="14"/>
        <v>9667.199999999997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453967.19999999995</v>
      </c>
      <c r="C149" s="81">
        <f>C43+C69+C72+C77+C79+C87+C102+C107+C100+C84+C98</f>
        <v>581141.0999999999</v>
      </c>
      <c r="D149" s="57">
        <f>D43+D69+D72+D77+D79+D87+D102+D107+D100+D84+D98</f>
        <v>400227.5000000001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1145210.2999999998</v>
      </c>
      <c r="C150" s="51">
        <f>C6+C18+C33+C43+C51+C59+C69+C72+C77+C79+C87+C90+C95+C102+C107+C100+C84+C98+C45</f>
        <v>1503920.6999999997</v>
      </c>
      <c r="D150" s="51">
        <f>D6+D18+D33+D43+D51+D59+D69+D72+D77+D79+D87+D90+D95+D102+D107+D100+D84+D98+D45</f>
        <v>975276.2000000002</v>
      </c>
      <c r="E150" s="35">
        <v>100</v>
      </c>
      <c r="F150" s="3">
        <f>D150/B150*100</f>
        <v>85.1613192790879</v>
      </c>
      <c r="G150" s="3">
        <f aca="true" t="shared" si="18" ref="G150:G156">D150/C150*100</f>
        <v>64.84891124911043</v>
      </c>
      <c r="H150" s="51">
        <f aca="true" t="shared" si="19" ref="H150:H156">B150-D150</f>
        <v>169934.09999999963</v>
      </c>
      <c r="I150" s="51">
        <f aca="true" t="shared" si="20" ref="I150:I156">C150-D150</f>
        <v>528644.4999999995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454922.1</v>
      </c>
      <c r="C151" s="64">
        <f>C8+C20+C34+C52+C60+C91+C115+C119+C46+C139+C131+C103</f>
        <v>608055.8999999997</v>
      </c>
      <c r="D151" s="64">
        <f>D8+D20+D34+D52+D60+D91+D115+D119+D46+D139+D131+D103</f>
        <v>397875.2999999998</v>
      </c>
      <c r="E151" s="6">
        <f>D151/D150*100</f>
        <v>40.79616625526182</v>
      </c>
      <c r="F151" s="6">
        <f aca="true" t="shared" si="21" ref="F151:F162">D151/B151*100</f>
        <v>87.46009481623334</v>
      </c>
      <c r="G151" s="6">
        <f t="shared" si="18"/>
        <v>65.4340003937138</v>
      </c>
      <c r="H151" s="65">
        <f t="shared" si="19"/>
        <v>57046.80000000016</v>
      </c>
      <c r="I151" s="76">
        <f t="shared" si="20"/>
        <v>210180.59999999986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77515.3</v>
      </c>
      <c r="C152" s="65">
        <f>C11+C23+C36+C55+C62+C92+C49+C140+C109+C112+C96+C137</f>
        <v>121928.70000000001</v>
      </c>
      <c r="D152" s="65">
        <f>D11+D23+D36+D55+D62+D92+D49+D140+D109+D112+D96+D137</f>
        <v>54640.899999999994</v>
      </c>
      <c r="E152" s="6">
        <f>D152/D150*100</f>
        <v>5.602607753577908</v>
      </c>
      <c r="F152" s="6">
        <f t="shared" si="21"/>
        <v>70.49047091348417</v>
      </c>
      <c r="G152" s="6">
        <f t="shared" si="18"/>
        <v>44.81381331876744</v>
      </c>
      <c r="H152" s="65">
        <f t="shared" si="19"/>
        <v>22874.40000000001</v>
      </c>
      <c r="I152" s="76">
        <f t="shared" si="20"/>
        <v>67287.80000000002</v>
      </c>
      <c r="K152" s="43"/>
      <c r="L152" s="98"/>
    </row>
    <row r="153" spans="1:12" ht="18.75">
      <c r="A153" s="20" t="s">
        <v>1</v>
      </c>
      <c r="B153" s="64">
        <f>B22+B10+B54+B48+B61+B35+B123</f>
        <v>24808.399999999998</v>
      </c>
      <c r="C153" s="64">
        <f>C22+C10+C54+C48+C61+C35+C123</f>
        <v>31721.800000000003</v>
      </c>
      <c r="D153" s="64">
        <f>D22+D10+D54+D48+D61+D35+D123</f>
        <v>18969.500000000007</v>
      </c>
      <c r="E153" s="6">
        <f>D153/D150*100</f>
        <v>1.9450387490230976</v>
      </c>
      <c r="F153" s="6">
        <f t="shared" si="21"/>
        <v>76.46402025120528</v>
      </c>
      <c r="G153" s="6">
        <f t="shared" si="18"/>
        <v>59.79957001179002</v>
      </c>
      <c r="H153" s="65">
        <f t="shared" si="19"/>
        <v>5838.8999999999905</v>
      </c>
      <c r="I153" s="76">
        <f t="shared" si="20"/>
        <v>12752.299999999996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22082.800000000003</v>
      </c>
      <c r="C154" s="64">
        <f>C12+C24+C104+C63+C38+C93+C129+C56</f>
        <v>29372.4</v>
      </c>
      <c r="D154" s="64">
        <f>D12+D24+D104+D63+D38+D93+D129+D56</f>
        <v>15106.4</v>
      </c>
      <c r="E154" s="6">
        <f>D154/D150*100</f>
        <v>1.5489355733278425</v>
      </c>
      <c r="F154" s="6">
        <f t="shared" si="21"/>
        <v>68.40799174017786</v>
      </c>
      <c r="G154" s="6">
        <f t="shared" si="18"/>
        <v>51.43059470795712</v>
      </c>
      <c r="H154" s="65">
        <f t="shared" si="19"/>
        <v>6976.400000000003</v>
      </c>
      <c r="I154" s="76">
        <f t="shared" si="20"/>
        <v>14266.000000000002</v>
      </c>
      <c r="K154" s="43"/>
      <c r="L154" s="98"/>
    </row>
    <row r="155" spans="1:12" ht="18.75">
      <c r="A155" s="20" t="s">
        <v>2</v>
      </c>
      <c r="B155" s="64">
        <f>B9+B21+B47+B53+B122</f>
        <v>18891.2</v>
      </c>
      <c r="C155" s="64">
        <f>C9+C21+C47+C53+C122</f>
        <v>22288.699999999997</v>
      </c>
      <c r="D155" s="64">
        <f>D9+D21+D47+D53+D122</f>
        <v>14699.1</v>
      </c>
      <c r="E155" s="6">
        <f>D155/D150*100</f>
        <v>1.5071730449281955</v>
      </c>
      <c r="F155" s="6">
        <f t="shared" si="21"/>
        <v>77.8092445159651</v>
      </c>
      <c r="G155" s="6">
        <f t="shared" si="18"/>
        <v>65.94866456993904</v>
      </c>
      <c r="H155" s="65">
        <f t="shared" si="19"/>
        <v>4192.1</v>
      </c>
      <c r="I155" s="76">
        <f t="shared" si="20"/>
        <v>7589.599999999997</v>
      </c>
      <c r="K155" s="43"/>
      <c r="L155" s="44"/>
    </row>
    <row r="156" spans="1:12" ht="19.5" thickBot="1">
      <c r="A156" s="20" t="s">
        <v>34</v>
      </c>
      <c r="B156" s="64">
        <f>B150-B151-B152-B153-B154-B155</f>
        <v>546990.4999999998</v>
      </c>
      <c r="C156" s="64">
        <f>C150-C151-C152-C153-C154-C155</f>
        <v>690553.2000000001</v>
      </c>
      <c r="D156" s="64">
        <f>D150-D151-D152-D153-D154-D155</f>
        <v>473985.00000000035</v>
      </c>
      <c r="E156" s="6">
        <f>D156/D150*100</f>
        <v>48.60007862388114</v>
      </c>
      <c r="F156" s="6">
        <f t="shared" si="21"/>
        <v>86.6532416924975</v>
      </c>
      <c r="G156" s="40">
        <f t="shared" si="18"/>
        <v>68.63844813115054</v>
      </c>
      <c r="H156" s="65">
        <f t="shared" si="19"/>
        <v>73005.49999999942</v>
      </c>
      <c r="I156" s="65">
        <f t="shared" si="20"/>
        <v>216568.19999999972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35078.4-3580</f>
        <v>31498.4</v>
      </c>
      <c r="C158" s="70">
        <f>33586.6+500+7325.2</f>
        <v>41411.799999999996</v>
      </c>
      <c r="D158" s="70">
        <f>33+3.1+31.8+118.6+8.5+18.3+41+591.6+0.1+448.4+20+14.4+41.3+31.5+458.7+42.9+92.6+54.3+185.1+276.9+138.9+420.8+189.7+128.4+1374+1199.8+948.5+463.6+2.3+2.2+200+677.2-390.9+28.9+159.7+371.4+9.6+31.3+19.2+239.7+1+60+59.5+69+4.8+207.4+131.8+36.3+6.1+4.5</f>
        <v>9306.800000000001</v>
      </c>
      <c r="E158" s="14"/>
      <c r="F158" s="6">
        <f t="shared" si="21"/>
        <v>29.54689762019658</v>
      </c>
      <c r="G158" s="6">
        <f aca="true" t="shared" si="22" ref="G158:G167">D158/C158*100</f>
        <v>22.47378766438552</v>
      </c>
      <c r="H158" s="65">
        <f>B158-D158</f>
        <v>22191.6</v>
      </c>
      <c r="I158" s="65">
        <f aca="true" t="shared" si="23" ref="I158:I167">C158-D158</f>
        <v>32104.999999999993</v>
      </c>
      <c r="K158" s="43"/>
      <c r="L158" s="43"/>
    </row>
    <row r="159" spans="1:12" ht="18.75">
      <c r="A159" s="20" t="s">
        <v>22</v>
      </c>
      <c r="B159" s="85">
        <v>45935.7</v>
      </c>
      <c r="C159" s="64">
        <f>51080.5+400+4581.4</f>
        <v>56061.9</v>
      </c>
      <c r="D159" s="64">
        <f>100+49.9+293.6+174.2+159.5+52+404.4+89.3+150+694.7+650+637.7+888.1+1549.4+1150.4+28.8+73+685+233.1+79.4+200+254.7+419.8+99.5+57.1+1.6+2862.1+4096.9+63.4+185.1+178.3+1864.4+0.1+67.7+62.8+1037.9+2.3+1408.4+110.5+74.8+4.2+339.9+777.7+187.4+329+752</f>
        <v>23580.100000000006</v>
      </c>
      <c r="E159" s="6"/>
      <c r="F159" s="6">
        <f t="shared" si="21"/>
        <v>51.332841341266175</v>
      </c>
      <c r="G159" s="6">
        <f t="shared" si="22"/>
        <v>42.06082919059113</v>
      </c>
      <c r="H159" s="65">
        <f aca="true" t="shared" si="24" ref="H159:H166">B159-D159</f>
        <v>22355.59999999999</v>
      </c>
      <c r="I159" s="65">
        <f t="shared" si="23"/>
        <v>32481.799999999996</v>
      </c>
      <c r="K159" s="43"/>
      <c r="L159" s="43"/>
    </row>
    <row r="160" spans="1:12" ht="18.75">
      <c r="A160" s="20" t="s">
        <v>58</v>
      </c>
      <c r="B160" s="85">
        <f>297236.8-6716.5</f>
        <v>290520.3</v>
      </c>
      <c r="C160" s="64">
        <f>327552.4-500+46301</f>
        <v>373353.4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+61.3-211.3+3307.3+3555.3+793.5+341.4+414+1037.3+2700.7+62.1+513.6-21.8+523.9+11473.2+6029.9+604.8+30+771+3780.1+2092.8+4737.5+860.6+514.3+1111.5+8+299.3+489.8+1553.9+546.9+459.7+238.7-28+1021.6+19.5+43.6+2.2+390.7+1046-1.3+2046.8+137.3+9065.4+72+3371.2+5709.9+3459.9+606.3+2273+164.4+1526.7+1413.9+764.7+1688.7+1859.6+1164.3+653+562.3+2735.2+296+599.2+2541+1+1817.6+100.2+1863.3+4501+4519.8</f>
        <v>169767.7</v>
      </c>
      <c r="E160" s="6"/>
      <c r="F160" s="6">
        <f t="shared" si="21"/>
        <v>58.43574442130206</v>
      </c>
      <c r="G160" s="6">
        <f t="shared" si="22"/>
        <v>45.471047002652185</v>
      </c>
      <c r="H160" s="65">
        <f t="shared" si="24"/>
        <v>120752.59999999998</v>
      </c>
      <c r="I160" s="65">
        <f t="shared" si="23"/>
        <v>203585.7</v>
      </c>
      <c r="K160" s="43"/>
      <c r="L160" s="43"/>
    </row>
    <row r="161" spans="1:12" ht="37.5">
      <c r="A161" s="20" t="s">
        <v>67</v>
      </c>
      <c r="B161" s="85">
        <v>4923.4</v>
      </c>
      <c r="C161" s="64">
        <v>4923.4</v>
      </c>
      <c r="D161" s="64">
        <f>1477+1723.2</f>
        <v>3200.2</v>
      </c>
      <c r="E161" s="6"/>
      <c r="F161" s="6">
        <f t="shared" si="21"/>
        <v>64.99979688832921</v>
      </c>
      <c r="G161" s="6">
        <f t="shared" si="22"/>
        <v>64.99979688832921</v>
      </c>
      <c r="H161" s="65">
        <f t="shared" si="24"/>
        <v>1723.1999999999998</v>
      </c>
      <c r="I161" s="65">
        <f t="shared" si="23"/>
        <v>1723.1999999999998</v>
      </c>
      <c r="K161" s="43"/>
      <c r="L161" s="43"/>
    </row>
    <row r="162" spans="1:12" ht="18.75">
      <c r="A162" s="20" t="s">
        <v>13</v>
      </c>
      <c r="B162" s="85">
        <v>11805.1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49.9+127.8+39.6+53.8+398.2+8.4+32.5+231.9+89.8+103.6+52.4+19.2+179.2+118+109.5+32.3+81.3+0.1+165.4+333.7+47.5+192.2+86.9+18.7+23.4+29.9+20+910.7+69.7+74+286.2+38+40.3+12.5+359+340.9+125.3+186.9+37.9+212+48.2+98.7+68.2+138.6+190+256.6+149.7+7.5+30+214.1+68.7+210.2</f>
        <v>6819.0999999999985</v>
      </c>
      <c r="E162" s="17"/>
      <c r="F162" s="6">
        <f t="shared" si="21"/>
        <v>57.76401724678316</v>
      </c>
      <c r="G162" s="6">
        <f t="shared" si="22"/>
        <v>49.83957141082143</v>
      </c>
      <c r="H162" s="65">
        <f t="shared" si="24"/>
        <v>4986.000000000002</v>
      </c>
      <c r="I162" s="65">
        <f t="shared" si="23"/>
        <v>6863.000000000002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5">
        <f t="shared" si="24"/>
        <v>0</v>
      </c>
      <c r="I163" s="65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1572.4</v>
      </c>
      <c r="C164" s="64">
        <v>2118.3</v>
      </c>
      <c r="D164" s="64">
        <f>394.4+14+15.3+287.2</f>
        <v>710.9</v>
      </c>
      <c r="E164" s="17"/>
      <c r="F164" s="6">
        <f>D164/B164*100</f>
        <v>45.21114220300178</v>
      </c>
      <c r="G164" s="6">
        <f t="shared" si="22"/>
        <v>33.559930132653534</v>
      </c>
      <c r="H164" s="65">
        <f t="shared" si="24"/>
        <v>861.5000000000001</v>
      </c>
      <c r="I164" s="65">
        <f t="shared" si="23"/>
        <v>1407.4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5">
        <f t="shared" si="24"/>
        <v>0</v>
      </c>
      <c r="I165" s="65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5">
        <f t="shared" si="24"/>
        <v>0</v>
      </c>
      <c r="I166" s="65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1531465.5999999996</v>
      </c>
      <c r="C167" s="87">
        <f>C150+C158+C162+C163+C159+C166+C165+C160+C164+C161</f>
        <v>1995471.5999999999</v>
      </c>
      <c r="D167" s="87">
        <f>D150+D158+D162+D163+D159+D166+D165+D160+D164+D161</f>
        <v>1188661</v>
      </c>
      <c r="E167" s="22"/>
      <c r="F167" s="3">
        <f>D167/B167*100</f>
        <v>77.61591249584714</v>
      </c>
      <c r="G167" s="3">
        <f t="shared" si="22"/>
        <v>59.567923692825296</v>
      </c>
      <c r="H167" s="51">
        <f>B167-D167</f>
        <v>342804.5999999996</v>
      </c>
      <c r="I167" s="51">
        <f t="shared" si="23"/>
        <v>806810.5999999999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7">
    <cfRule type="cellIs" priority="3" dxfId="0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1503920.6999999997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975276.2000000002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1503920.6999999997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975276.2000000002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2016-08-31T14:21:06Z</cp:lastPrinted>
  <dcterms:created xsi:type="dcterms:W3CDTF">2000-06-20T04:48:00Z</dcterms:created>
  <dcterms:modified xsi:type="dcterms:W3CDTF">2016-09-07T07:48:38Z</dcterms:modified>
  <cp:category/>
  <cp:version/>
  <cp:contentType/>
  <cp:contentStatus/>
</cp:coreProperties>
</file>